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ttps://d.docs.live.net/d08035532aa09379/2_Geschichten/1_Mozambik Credit Suisse/Verkauf_Finanzierung Geschichte/MOZ_Faktencheck/"/>
    </mc:Choice>
  </mc:AlternateContent>
  <xr:revisionPtr revIDLastSave="502" documentId="114_{06AD559D-C0B7-4EB6-99B3-6CB4AD2CAEE0}" xr6:coauthVersionLast="43" xr6:coauthVersionMax="43" xr10:uidLastSave="{B8228199-8E6A-44B1-B5BA-2FE13B55A6C9}"/>
  <bookViews>
    <workbookView xWindow="-96" yWindow="-96" windowWidth="19392" windowHeight="10992" xr2:uid="{E0891A31-AAFA-4D65-8160-1B4D80437BE2}"/>
  </bookViews>
  <sheets>
    <sheet name="Übersicht" sheetId="2" r:id="rId1"/>
    <sheet name="Proindicus" sheetId="4" r:id="rId2"/>
    <sheet name="Ematu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2" l="1"/>
  <c r="C11" i="2"/>
  <c r="C10" i="2"/>
  <c r="C9" i="2"/>
  <c r="C6" i="2"/>
  <c r="C5" i="2"/>
  <c r="C4" i="2"/>
  <c r="C26" i="3"/>
  <c r="I11" i="2"/>
  <c r="I10" i="2"/>
  <c r="I9" i="2"/>
  <c r="I6" i="2"/>
  <c r="I5" i="2"/>
  <c r="I4" i="2"/>
  <c r="C20" i="4"/>
  <c r="D4" i="3" l="1"/>
  <c r="B10" i="2" l="1"/>
  <c r="G10" i="4" l="1"/>
  <c r="G12" i="4" s="1"/>
  <c r="G6" i="4"/>
  <c r="G9" i="4" s="1"/>
  <c r="E5" i="4"/>
  <c r="E4" i="4"/>
  <c r="E3" i="4"/>
  <c r="G13" i="4" l="1"/>
  <c r="G14" i="4" s="1"/>
  <c r="G15" i="4" s="1"/>
  <c r="C13" i="4"/>
  <c r="C9" i="4"/>
  <c r="G11" i="4"/>
  <c r="C11" i="4"/>
  <c r="C15" i="4" l="1"/>
  <c r="G16" i="4"/>
  <c r="G17" i="4" s="1"/>
  <c r="G18" i="4" l="1"/>
  <c r="C17" i="4"/>
  <c r="C19" i="4" s="1"/>
  <c r="H4" i="2" s="1"/>
  <c r="H9" i="2" l="1"/>
  <c r="F20" i="3"/>
  <c r="F21" i="3" s="1"/>
  <c r="F22" i="3" s="1"/>
  <c r="C19" i="3"/>
  <c r="C16" i="3"/>
  <c r="F19" i="3"/>
  <c r="F18" i="3"/>
  <c r="F17" i="3"/>
  <c r="F12" i="3"/>
  <c r="F16" i="3"/>
  <c r="F15" i="3"/>
  <c r="F13" i="3"/>
  <c r="F14" i="3"/>
  <c r="C13" i="3"/>
  <c r="F8" i="3"/>
  <c r="D8" i="3" s="1"/>
  <c r="F7" i="3"/>
  <c r="F6" i="3"/>
  <c r="D6" i="3"/>
  <c r="F5" i="3"/>
  <c r="F4" i="3"/>
  <c r="C22" i="3" l="1"/>
  <c r="C25" i="3" s="1"/>
  <c r="B4" i="2" s="1"/>
  <c r="B9" i="2" s="1"/>
  <c r="F23" i="3"/>
  <c r="F24" i="3" s="1"/>
  <c r="F9" i="3"/>
  <c r="H11" i="2" l="1"/>
  <c r="H6" i="2"/>
  <c r="B11" i="2"/>
  <c r="B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tc={9FE16CD2-2613-40DB-8DE2-BCF2F1D8799A}</author>
    <author>tc={B34B12AD-9FEF-4253-8447-743DB0C4E851}</author>
    <author>tc={528889A3-B709-4A39-AE32-2C39BDA8E1C3}</author>
    <author>tc={08E7082B-4424-454F-8D42-DD9E82B072F8}</author>
  </authors>
  <commentList>
    <comment ref="C2" authorId="0" shapeId="0" xr:uid="{9FE16CD2-2613-40DB-8DE2-BCF2F1D8799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Kroll-Report S.73</t>
      </text>
    </comment>
    <comment ref="D2" authorId="1" shapeId="0" xr:uid="{B34B12AD-9FEF-4253-8447-743DB0C4E85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https://clubofmozambique.com/news/government-releases-details-proindicus-mam-loans-aim-report/</t>
      </text>
    </comment>
    <comment ref="D9" authorId="2" shapeId="0" xr:uid="{528889A3-B709-4A39-AE32-2C39BDA8E1C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Bezüglich Zinssatz gibt es wiedersprüchliche Angaben. Verschiedene Quellen gehen davon aus, dass der Zinssatz ab 2015 3.75 plus LIBOR betrug. Um möglichst konservativ zu rechnen und den steigenden  den LIBOR nicht berücksichtigen zu müssen, wird ab 2017 konstant mit einem Zinssatz von 3.75 ohne LIBOR gerechnet.
https://www.africaresearchinstitute.org/newsite/publications/mozambiques-debt-crisis-trawling-answers/.</t>
      </text>
    </comment>
    <comment ref="F10" authorId="3" shapeId="0" xr:uid="{08E7082B-4424-454F-8D42-DD9E82B072F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https://www.africaresearchinstitute.org/newsite/publications/mozambiques-debt-crisis-trawling-answers/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tc={93572FEE-BE3D-4248-90FE-A4B781CD7A88}</author>
    <author>tc={0D4AE557-87E6-4A6F-AAF5-AFD8881B6F6D}</author>
    <author>tc={E09C0DA3-D325-4C6F-88A4-C3468D4256DE}</author>
  </authors>
  <commentList>
    <comment ref="C2" authorId="0" shapeId="0" xr:uid="{93572FEE-BE3D-4248-90FE-A4B781CD7A8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Kroll-Report S.113</t>
      </text>
    </comment>
    <comment ref="E7" authorId="1" shapeId="0" xr:uid="{0D4AE557-87E6-4A6F-AAF5-AFD8881B6F6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principal repayment laut Kroll-Report 5.3.2, S. 106</t>
      </text>
    </comment>
    <comment ref="D13" authorId="2" shapeId="0" xr:uid="{E09C0DA3-D325-4C6F-88A4-C3468D4256D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Obschon im Ematum-Kreditvertrag ein Zinssatz von 3.7% plus LIBOR vereinbart ist, überwies Moçambique mehrmals Zinszahlungen im Wert von über 6%. Verschiedene Quellen gehen davon aus, dass der tatsächliche Zinssatz 6.3% betrug. Die CS gab ebenfalls Loan Participation Notes mit 6.3% Zinsen aus. Der Einfachheit halber und in Übereinstimmung mit den geleisteten Zahlungen wird deshalb ein Zinssatz von 6.3% ohne Berücksichtigung des gestiegenen LIBOR angenommen.</t>
      </text>
    </comment>
  </commentList>
</comments>
</file>

<file path=xl/sharedStrings.xml><?xml version="1.0" encoding="utf-8"?>
<sst xmlns="http://schemas.openxmlformats.org/spreadsheetml/2006/main" count="80" uniqueCount="37">
  <si>
    <t>Contractor fee</t>
  </si>
  <si>
    <t>Proindicus (2013-2021, 622 M)</t>
  </si>
  <si>
    <t>Ematum (2013-2020, 850 M)</t>
  </si>
  <si>
    <t>interest Ematum to CS</t>
  </si>
  <si>
    <t>principal rückzahlung</t>
  </si>
  <si>
    <t>Potenzielle Einnahmen</t>
  </si>
  <si>
    <t>7 Jahre Zinszahlungen</t>
  </si>
  <si>
    <t>Einnahmen insgesamt</t>
  </si>
  <si>
    <t>Einnahmen insgesamt (CS-Anteil)</t>
  </si>
  <si>
    <t>8 Jahre Zinszahlungen</t>
  </si>
  <si>
    <t xml:space="preserve">Bisherige Zahlungen </t>
  </si>
  <si>
    <t>Zins</t>
  </si>
  <si>
    <t>Rückzahlungen</t>
  </si>
  <si>
    <t>Ausstehend</t>
  </si>
  <si>
    <t>Theoretische Weiterführung</t>
  </si>
  <si>
    <t>Proindicus (2013-2021, 622 M, Libor +3.2% )</t>
  </si>
  <si>
    <t>Betreff</t>
  </si>
  <si>
    <t>Zins (eigene Berechnung)</t>
  </si>
  <si>
    <t>interest Proindicus to CS</t>
  </si>
  <si>
    <t xml:space="preserve">Rückzahlung </t>
  </si>
  <si>
    <t>Zinszahlungen (eigene Berechnung)</t>
  </si>
  <si>
    <t>Rückzahlung</t>
  </si>
  <si>
    <t>Zins (laut Regierung)</t>
  </si>
  <si>
    <t>Zinszahlungen (laut Kroll)</t>
  </si>
  <si>
    <t>Zinszahlungen Ematum (best case)</t>
  </si>
  <si>
    <t>Contractor fee (laut Kroll)</t>
  </si>
  <si>
    <t>Anteil CS (500 M)</t>
  </si>
  <si>
    <t>Anteil CS (504 M)</t>
  </si>
  <si>
    <t>Ematum (2013-2020, 850 M, 3.7%)</t>
  </si>
  <si>
    <t>Zinszahlungen Proindicus (best case)</t>
  </si>
  <si>
    <t>Zahlungen (laut Kroll)</t>
  </si>
  <si>
    <t>Bis 20.8.2019</t>
  </si>
  <si>
    <t>bis 20.8.19</t>
  </si>
  <si>
    <t>bis 2021</t>
  </si>
  <si>
    <t>bis 20.8.2019</t>
  </si>
  <si>
    <t>bis 2020</t>
  </si>
  <si>
    <t>Einnahmen bis 20.8.2019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</si>
</sst>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14" fontId="0" fillId="0" borderId="0" xfId="0" applyNumberFormat="1"/>
    <xf numFmtId="0" fontId="0" fillId="2" borderId="0" xfId="0" applyFill="1"/>
    <xf numFmtId="0" fontId="0" fillId="0" borderId="0" xfId="0" applyFill="1"/>
    <xf numFmtId="4" fontId="0" fillId="0" borderId="0" xfId="0" applyNumberFormat="1"/>
    <xf numFmtId="4" fontId="0" fillId="2" borderId="0" xfId="0" applyNumberFormat="1" applyFill="1"/>
    <xf numFmtId="14" fontId="1" fillId="0" borderId="0" xfId="0" applyNumberFormat="1" applyFont="1"/>
    <xf numFmtId="4" fontId="1" fillId="0" borderId="0" xfId="0" applyNumberFormat="1" applyFont="1"/>
    <xf numFmtId="0" fontId="0" fillId="3" borderId="0" xfId="0" applyFill="1"/>
    <xf numFmtId="4" fontId="0" fillId="3" borderId="0" xfId="0" applyNumberFormat="1" applyFill="1"/>
    <xf numFmtId="4" fontId="1" fillId="3" borderId="0" xfId="0" applyNumberFormat="1" applyFont="1" applyFill="1"/>
    <xf numFmtId="4" fontId="1" fillId="2" borderId="0" xfId="0" applyNumberFormat="1" applyFont="1" applyFill="1"/>
    <xf numFmtId="14" fontId="1" fillId="3" borderId="0" xfId="0" applyNumberFormat="1" applyFont="1" applyFill="1"/>
    <xf numFmtId="0" fontId="1" fillId="3" borderId="0" xfId="0" applyFont="1" applyFill="1"/>
    <xf numFmtId="14" fontId="1" fillId="2" borderId="0" xfId="0" applyNumberFormat="1" applyFont="1" applyFill="1"/>
    <xf numFmtId="0" fontId="1" fillId="2"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hristian Zeier" id="{6594179F-DFDE-4CB7-A782-A4B930BB07BE}" userId="d08035532aa09379"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19-08-07T14:06:24.10" personId="{6594179F-DFDE-4CB7-A782-A4B930BB07BE}" id="{9FE16CD2-2613-40DB-8DE2-BCF2F1D8799A}">
    <text>Kroll-Report S.73</text>
  </threadedComment>
  <threadedComment ref="D2" dT="2019-08-07T14:15:39.50" personId="{6594179F-DFDE-4CB7-A782-A4B930BB07BE}" id="{B34B12AD-9FEF-4253-8447-743DB0C4E851}">
    <text>https://clubofmozambique.com/news/government-releases-details-proindicus-mam-loans-aim-report/</text>
  </threadedComment>
  <threadedComment ref="D9" dT="2019-08-07T14:09:01.31" personId="{6594179F-DFDE-4CB7-A782-A4B930BB07BE}" id="{528889A3-B709-4A39-AE32-2C39BDA8E1C3}">
    <text>Bezüglich Zinssatz gibt es wiedersprüchliche Angaben. Verschiedene Quellen gehen davon aus, dass der Zinssatz ab 2015 3.75 plus LIBOR betrug. Um möglichst konservativ zu rechnen und den steigenden  den LIBOR nicht berücksichtigen zu müssen, wird ab 2017 konstant mit einem Zinssatz von 3.75 ohne LIBOR gerechnet.
https://www.africaresearchinstitute.org/newsite/publications/mozambiques-debt-crisis-trawling-answers/.</text>
  </threadedComment>
  <threadedComment ref="F10" dT="2019-08-07T14:14:04.34" personId="{6594179F-DFDE-4CB7-A782-A4B930BB07BE}" id="{08E7082B-4424-454F-8D42-DD9E82B072F8}">
    <text>https://www.africaresearchinstitute.org/newsite/publications/mozambiques-debt-crisis-trawling-answers/</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19-08-07T14:05:00.82" personId="{6594179F-DFDE-4CB7-A782-A4B930BB07BE}" id="{93572FEE-BE3D-4248-90FE-A4B781CD7A88}">
    <text>siehe Kroll-Report S.113</text>
  </threadedComment>
  <threadedComment ref="E7" dT="2019-08-07T14:03:55.35" personId="{6594179F-DFDE-4CB7-A782-A4B930BB07BE}" id="{0D4AE557-87E6-4A6F-AAF5-AFD8881B6F6D}">
    <text>principal repayment laut Kroll-Report 5.3.2, S. 106</text>
  </threadedComment>
  <threadedComment ref="D13" dT="2019-08-07T13:53:23.39" personId="{6594179F-DFDE-4CB7-A782-A4B930BB07BE}" id="{E09C0DA3-D325-4C6F-88A4-C3468D4256DE}">
    <text>Obschon im Ematum-Kreditvertrag ein Zinssatz von 3.7% plus LIBOR vereinbart ist, überwies Moçambique mehrmals Zinszahlungen im Wert von über 6%. Verschiedene Quellen gehen davon aus, dass der tatsächliche Zinssatz 6.3% betrug. Die CS gab ebenfalls Loan Participation Notes mit 6.3% Zinsen aus. Der Einfachheit halber und in Übereinstimmung mit den geleisteten Zahlungen wird deshalb ein Zinssatz von 6.3% ohne Berücksichtigung des gestiegenen LIBOR angenommen.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15F8-7858-48CD-AE05-189F82BA047B}">
  <dimension ref="A1:J14"/>
  <sheetViews>
    <sheetView tabSelected="1" workbookViewId="0">
      <selection activeCell="D15" sqref="D15"/>
    </sheetView>
  </sheetViews>
  <sheetFormatPr baseColWidth="10" defaultRowHeight="14.4" x14ac:dyDescent="0.55000000000000004"/>
  <cols>
    <col min="1" max="1" width="29.734375" customWidth="1"/>
    <col min="2" max="2" width="21.47265625" customWidth="1"/>
    <col min="3" max="3" width="13" bestFit="1" customWidth="1"/>
    <col min="4" max="5" width="14.9453125" customWidth="1"/>
    <col min="6" max="6" width="6.15625" customWidth="1"/>
    <col min="7" max="7" width="27.7890625" customWidth="1"/>
    <col min="8" max="8" width="20.5234375" customWidth="1"/>
    <col min="9" max="9" width="12.9453125" customWidth="1"/>
    <col min="10" max="10" width="14.47265625" customWidth="1"/>
  </cols>
  <sheetData>
    <row r="1" spans="1:10" x14ac:dyDescent="0.55000000000000004">
      <c r="A1" s="1" t="s">
        <v>5</v>
      </c>
      <c r="B1" s="5"/>
    </row>
    <row r="3" spans="1:10" x14ac:dyDescent="0.55000000000000004">
      <c r="A3" s="1" t="s">
        <v>2</v>
      </c>
      <c r="B3" s="5" t="s">
        <v>35</v>
      </c>
      <c r="C3" t="s">
        <v>34</v>
      </c>
      <c r="G3" s="1" t="s">
        <v>1</v>
      </c>
      <c r="H3" s="5" t="s">
        <v>33</v>
      </c>
      <c r="I3" s="5" t="s">
        <v>32</v>
      </c>
      <c r="J3" s="5"/>
    </row>
    <row r="4" spans="1:10" x14ac:dyDescent="0.55000000000000004">
      <c r="A4" t="s">
        <v>6</v>
      </c>
      <c r="B4" s="5">
        <f>Ematum!C25</f>
        <v>228411497</v>
      </c>
      <c r="C4" s="5">
        <f>Ematum!C26</f>
        <v>218236997</v>
      </c>
      <c r="G4" t="s">
        <v>9</v>
      </c>
      <c r="H4" s="5">
        <f>Proindicus!C19</f>
        <v>135652914</v>
      </c>
      <c r="I4" s="5">
        <f>Proindicus!C20</f>
        <v>122217714</v>
      </c>
      <c r="J4" s="5"/>
    </row>
    <row r="5" spans="1:10" x14ac:dyDescent="0.55000000000000004">
      <c r="A5" t="s">
        <v>0</v>
      </c>
      <c r="B5" s="5">
        <v>76500000</v>
      </c>
      <c r="C5" s="5">
        <f>B5</f>
        <v>76500000</v>
      </c>
      <c r="G5" t="s">
        <v>0</v>
      </c>
      <c r="H5" s="5">
        <v>64423600</v>
      </c>
      <c r="I5" s="5">
        <f>H5</f>
        <v>64423600</v>
      </c>
      <c r="J5" s="5"/>
    </row>
    <row r="6" spans="1:10" s="3" customFormat="1" x14ac:dyDescent="0.55000000000000004">
      <c r="A6" s="3" t="s">
        <v>7</v>
      </c>
      <c r="B6" s="6">
        <f>SUM(B4:B5)</f>
        <v>304911497</v>
      </c>
      <c r="C6" s="6">
        <f>C5+C4</f>
        <v>294736997</v>
      </c>
      <c r="F6" s="4"/>
      <c r="G6" s="3" t="s">
        <v>7</v>
      </c>
      <c r="H6" s="6">
        <f>SUM(H4:H5)</f>
        <v>200076514</v>
      </c>
      <c r="I6" s="6">
        <f>I5+I4</f>
        <v>186641314</v>
      </c>
      <c r="J6" s="6"/>
    </row>
    <row r="7" spans="1:10" x14ac:dyDescent="0.55000000000000004">
      <c r="B7" s="5"/>
      <c r="H7" s="5"/>
      <c r="I7" s="5"/>
      <c r="J7" s="5"/>
    </row>
    <row r="8" spans="1:10" x14ac:dyDescent="0.55000000000000004">
      <c r="A8" s="1" t="s">
        <v>26</v>
      </c>
      <c r="B8" s="5"/>
      <c r="C8" t="s">
        <v>34</v>
      </c>
      <c r="G8" s="1" t="s">
        <v>27</v>
      </c>
      <c r="H8" s="5"/>
      <c r="I8" s="5" t="s">
        <v>32</v>
      </c>
      <c r="J8" s="5"/>
    </row>
    <row r="9" spans="1:10" x14ac:dyDescent="0.55000000000000004">
      <c r="A9" t="s">
        <v>6</v>
      </c>
      <c r="B9" s="5">
        <f>B4/850*500</f>
        <v>134359704.11764705</v>
      </c>
      <c r="C9">
        <f>C4/850*500</f>
        <v>128374704.11764705</v>
      </c>
      <c r="G9" t="s">
        <v>9</v>
      </c>
      <c r="H9" s="5">
        <f>H4/622*504</f>
        <v>109918116.81028938</v>
      </c>
      <c r="I9" s="5">
        <f>I4/622*504</f>
        <v>99031716.810289383</v>
      </c>
      <c r="J9" s="5"/>
    </row>
    <row r="10" spans="1:10" x14ac:dyDescent="0.55000000000000004">
      <c r="A10" t="s">
        <v>25</v>
      </c>
      <c r="B10" s="5">
        <f>B5/850*500</f>
        <v>45000000</v>
      </c>
      <c r="C10" s="5">
        <f>B10</f>
        <v>45000000</v>
      </c>
      <c r="G10" t="s">
        <v>25</v>
      </c>
      <c r="H10" s="5">
        <v>48824000</v>
      </c>
      <c r="I10" s="5">
        <f>H10</f>
        <v>48824000</v>
      </c>
      <c r="J10" s="5"/>
    </row>
    <row r="11" spans="1:10" s="3" customFormat="1" x14ac:dyDescent="0.55000000000000004">
      <c r="A11" s="3" t="s">
        <v>8</v>
      </c>
      <c r="B11" s="6">
        <f>B10+B9</f>
        <v>179359704.11764705</v>
      </c>
      <c r="C11" s="6">
        <f>C10+C9</f>
        <v>173374704.11764705</v>
      </c>
      <c r="F11" s="4"/>
      <c r="G11" s="3" t="s">
        <v>8</v>
      </c>
      <c r="H11" s="6">
        <f>SUM(H9:H10)</f>
        <v>158742116.81028938</v>
      </c>
      <c r="I11" s="6">
        <f>I10+I9</f>
        <v>147855716.81028938</v>
      </c>
      <c r="J11" s="12"/>
    </row>
    <row r="12" spans="1:10" x14ac:dyDescent="0.55000000000000004">
      <c r="H12" s="5"/>
      <c r="I12" s="5"/>
      <c r="J12" s="5"/>
    </row>
    <row r="13" spans="1:10" x14ac:dyDescent="0.55000000000000004">
      <c r="H13" s="5"/>
      <c r="I13" s="5"/>
      <c r="J13" s="5"/>
    </row>
    <row r="14" spans="1:10" x14ac:dyDescent="0.55000000000000004">
      <c r="A14" t="s">
        <v>36</v>
      </c>
      <c r="B14" s="5">
        <f>C11+I11</f>
        <v>321230420.92793643</v>
      </c>
    </row>
  </sheetData>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7C301-D2E8-46B3-B86A-2950237B2B3E}">
  <dimension ref="A1:H20"/>
  <sheetViews>
    <sheetView workbookViewId="0">
      <selection activeCell="A20" sqref="A20"/>
    </sheetView>
  </sheetViews>
  <sheetFormatPr baseColWidth="10" defaultRowHeight="14.4" x14ac:dyDescent="0.55000000000000004"/>
  <cols>
    <col min="1" max="1" width="43.83984375" customWidth="1"/>
    <col min="2" max="2" width="39.47265625" customWidth="1"/>
    <col min="3" max="3" width="31.26171875" customWidth="1"/>
    <col min="4" max="4" width="21.62890625" customWidth="1"/>
    <col min="5" max="5" width="25.7890625" customWidth="1"/>
    <col min="6" max="6" width="19.1015625" customWidth="1"/>
    <col min="7" max="7" width="20.3125" customWidth="1"/>
    <col min="8" max="8" width="19" customWidth="1"/>
  </cols>
  <sheetData>
    <row r="1" spans="1:7" x14ac:dyDescent="0.55000000000000004">
      <c r="A1" s="7" t="s">
        <v>15</v>
      </c>
      <c r="B1" s="7"/>
    </row>
    <row r="2" spans="1:7" x14ac:dyDescent="0.55000000000000004">
      <c r="A2" s="7" t="s">
        <v>10</v>
      </c>
      <c r="B2" s="1" t="s">
        <v>16</v>
      </c>
      <c r="C2" s="1" t="s">
        <v>23</v>
      </c>
      <c r="D2" s="1" t="s">
        <v>22</v>
      </c>
      <c r="E2" s="1" t="s">
        <v>17</v>
      </c>
      <c r="F2" s="1" t="s">
        <v>12</v>
      </c>
      <c r="G2" s="1" t="s">
        <v>13</v>
      </c>
    </row>
    <row r="3" spans="1:7" x14ac:dyDescent="0.55000000000000004">
      <c r="A3" s="2">
        <v>41719</v>
      </c>
      <c r="B3" t="s">
        <v>18</v>
      </c>
      <c r="C3" s="5">
        <v>16759654</v>
      </c>
      <c r="D3">
        <v>3.2</v>
      </c>
      <c r="E3" s="5">
        <f>C3/G3*100</f>
        <v>2.6944781350482314</v>
      </c>
      <c r="F3" s="5"/>
      <c r="G3" s="5">
        <v>622000000</v>
      </c>
    </row>
    <row r="4" spans="1:7" x14ac:dyDescent="0.55000000000000004">
      <c r="A4" s="2">
        <v>42086</v>
      </c>
      <c r="B4" t="s">
        <v>18</v>
      </c>
      <c r="C4" s="5">
        <v>23813417</v>
      </c>
      <c r="D4" s="5">
        <v>3.75</v>
      </c>
      <c r="E4" s="5">
        <f>C4/G4*100</f>
        <v>3.8285236334405144</v>
      </c>
      <c r="F4" s="5"/>
      <c r="G4" s="5">
        <v>622000000</v>
      </c>
    </row>
    <row r="5" spans="1:7" x14ac:dyDescent="0.55000000000000004">
      <c r="A5" s="2">
        <v>42450</v>
      </c>
      <c r="B5" t="s">
        <v>18</v>
      </c>
      <c r="C5" s="5">
        <v>27903843</v>
      </c>
      <c r="D5" s="5">
        <v>3.75</v>
      </c>
      <c r="E5" s="5">
        <f>C5/G5*100</f>
        <v>4.4861483922829581</v>
      </c>
      <c r="F5" s="5"/>
      <c r="G5" s="5">
        <v>622000000</v>
      </c>
    </row>
    <row r="6" spans="1:7" x14ac:dyDescent="0.55000000000000004">
      <c r="A6" s="2">
        <v>42450</v>
      </c>
      <c r="B6" t="s">
        <v>19</v>
      </c>
      <c r="C6" s="5"/>
      <c r="D6" s="5"/>
      <c r="E6" s="5"/>
      <c r="F6" s="5">
        <v>24880000</v>
      </c>
      <c r="G6" s="5">
        <f>622000000-F6</f>
        <v>597120000</v>
      </c>
    </row>
    <row r="7" spans="1:7" x14ac:dyDescent="0.55000000000000004">
      <c r="A7" s="2"/>
      <c r="C7" s="5"/>
      <c r="D7" s="8"/>
      <c r="E7" s="5"/>
      <c r="F7" s="5"/>
      <c r="G7" s="5"/>
    </row>
    <row r="8" spans="1:7" x14ac:dyDescent="0.55000000000000004">
      <c r="A8" s="1" t="s">
        <v>14</v>
      </c>
      <c r="C8" s="8" t="s">
        <v>20</v>
      </c>
      <c r="D8" s="5"/>
      <c r="E8" s="5"/>
      <c r="F8" s="5"/>
      <c r="G8" s="5"/>
    </row>
    <row r="9" spans="1:7" x14ac:dyDescent="0.55000000000000004">
      <c r="A9" s="2">
        <v>42815</v>
      </c>
      <c r="B9" t="s">
        <v>18</v>
      </c>
      <c r="C9" s="5">
        <f>G6/100*(D9)</f>
        <v>22392000</v>
      </c>
      <c r="D9" s="5">
        <v>3.75</v>
      </c>
      <c r="F9" s="5"/>
      <c r="G9" s="5">
        <f>G6</f>
        <v>597120000</v>
      </c>
    </row>
    <row r="10" spans="1:7" x14ac:dyDescent="0.55000000000000004">
      <c r="A10" s="2">
        <v>42815</v>
      </c>
      <c r="B10" t="s">
        <v>19</v>
      </c>
      <c r="C10" s="5"/>
      <c r="D10" s="5"/>
      <c r="F10" s="5">
        <v>119424000</v>
      </c>
      <c r="G10" s="5">
        <f>G3-F6-F10</f>
        <v>477696000</v>
      </c>
    </row>
    <row r="11" spans="1:7" x14ac:dyDescent="0.55000000000000004">
      <c r="A11" s="2">
        <v>43180</v>
      </c>
      <c r="B11" t="s">
        <v>18</v>
      </c>
      <c r="C11" s="5">
        <f>G10/100*(D11)</f>
        <v>17913600</v>
      </c>
      <c r="D11" s="5">
        <v>3.75</v>
      </c>
      <c r="F11" s="5"/>
      <c r="G11" s="5">
        <f>G10</f>
        <v>477696000</v>
      </c>
    </row>
    <row r="12" spans="1:7" x14ac:dyDescent="0.55000000000000004">
      <c r="A12" s="2">
        <v>43180</v>
      </c>
      <c r="B12" t="s">
        <v>19</v>
      </c>
      <c r="C12" s="5"/>
      <c r="D12" s="5"/>
      <c r="F12" s="5">
        <v>119424000</v>
      </c>
      <c r="G12" s="5">
        <f>G10-F12</f>
        <v>358272000</v>
      </c>
    </row>
    <row r="13" spans="1:7" x14ac:dyDescent="0.55000000000000004">
      <c r="A13" s="2">
        <v>43545</v>
      </c>
      <c r="B13" t="s">
        <v>18</v>
      </c>
      <c r="C13" s="5">
        <f>G12/100*(D13)</f>
        <v>13435200</v>
      </c>
      <c r="D13" s="5">
        <v>3.75</v>
      </c>
      <c r="F13" s="5"/>
      <c r="G13" s="5">
        <f>G12</f>
        <v>358272000</v>
      </c>
    </row>
    <row r="14" spans="1:7" x14ac:dyDescent="0.55000000000000004">
      <c r="A14" s="2">
        <v>43545</v>
      </c>
      <c r="B14" t="s">
        <v>21</v>
      </c>
      <c r="D14" s="5"/>
      <c r="F14" s="5">
        <v>119424000</v>
      </c>
      <c r="G14" s="5">
        <f>G13-F14</f>
        <v>238848000</v>
      </c>
    </row>
    <row r="15" spans="1:7" x14ac:dyDescent="0.55000000000000004">
      <c r="A15" s="2">
        <v>43911</v>
      </c>
      <c r="B15" t="s">
        <v>18</v>
      </c>
      <c r="C15" s="5">
        <f>G15/100*D15</f>
        <v>8956800</v>
      </c>
      <c r="D15" s="5">
        <v>3.75</v>
      </c>
      <c r="F15" s="5"/>
      <c r="G15" s="5">
        <f>G14</f>
        <v>238848000</v>
      </c>
    </row>
    <row r="16" spans="1:7" x14ac:dyDescent="0.55000000000000004">
      <c r="A16" s="2">
        <v>43911</v>
      </c>
      <c r="B16" t="s">
        <v>21</v>
      </c>
      <c r="C16" s="5"/>
      <c r="D16" s="5"/>
      <c r="F16" s="5">
        <v>119424000</v>
      </c>
      <c r="G16" s="5">
        <f>G15-F16</f>
        <v>119424000</v>
      </c>
    </row>
    <row r="17" spans="1:8" x14ac:dyDescent="0.55000000000000004">
      <c r="A17" s="2">
        <v>44276</v>
      </c>
      <c r="B17" t="s">
        <v>18</v>
      </c>
      <c r="C17" s="5">
        <f>G17/100*D17</f>
        <v>4478400</v>
      </c>
      <c r="D17" s="5">
        <v>3.75</v>
      </c>
      <c r="F17" s="5"/>
      <c r="G17" s="5">
        <f>G16</f>
        <v>119424000</v>
      </c>
    </row>
    <row r="18" spans="1:8" x14ac:dyDescent="0.55000000000000004">
      <c r="A18" s="2">
        <v>44276</v>
      </c>
      <c r="B18" t="s">
        <v>21</v>
      </c>
      <c r="C18" s="5"/>
      <c r="D18" s="5"/>
      <c r="F18" s="5">
        <v>119424000</v>
      </c>
      <c r="G18" s="5">
        <f>F18-G17</f>
        <v>0</v>
      </c>
    </row>
    <row r="19" spans="1:8" x14ac:dyDescent="0.55000000000000004">
      <c r="A19" s="13" t="s">
        <v>29</v>
      </c>
      <c r="B19" s="14"/>
      <c r="C19" s="11">
        <f>SUM(C9:C18)+C5+C4+C3</f>
        <v>135652914</v>
      </c>
      <c r="D19" s="10"/>
      <c r="E19" s="9"/>
      <c r="F19" s="10"/>
      <c r="G19" s="10"/>
      <c r="H19" s="11"/>
    </row>
    <row r="20" spans="1:8" x14ac:dyDescent="0.55000000000000004">
      <c r="A20" t="s">
        <v>31</v>
      </c>
      <c r="C20" s="5">
        <f>C19-C17-C15</f>
        <v>122217714</v>
      </c>
    </row>
  </sheetData>
  <pageMargins left="0.7" right="0.7" top="0.78740157499999996" bottom="0.78740157499999996" header="0.3" footer="0.3"/>
  <pageSetup paperSize="9" orientation="portrait" horizontalDpi="1200" verticalDpi="1200" r:id="rId1"/>
  <ignoredErrors>
    <ignoredError sqref="G15:G16 G14 G12"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D3EC1-77FB-4832-BC99-8F8E5AC79EC6}">
  <dimension ref="A1:G26"/>
  <sheetViews>
    <sheetView topLeftCell="A6" workbookViewId="0">
      <selection activeCell="C27" sqref="C27"/>
    </sheetView>
  </sheetViews>
  <sheetFormatPr baseColWidth="10" defaultRowHeight="14.4" x14ac:dyDescent="0.55000000000000004"/>
  <cols>
    <col min="1" max="1" width="29.1015625" customWidth="1"/>
    <col min="2" max="2" width="29" customWidth="1"/>
    <col min="3" max="3" width="33.41796875" customWidth="1"/>
    <col min="5" max="5" width="22.62890625" customWidth="1"/>
    <col min="6" max="6" width="22.1015625" customWidth="1"/>
    <col min="7" max="7" width="19.3125" customWidth="1"/>
  </cols>
  <sheetData>
    <row r="1" spans="1:6" x14ac:dyDescent="0.55000000000000004">
      <c r="A1" s="1" t="s">
        <v>28</v>
      </c>
    </row>
    <row r="2" spans="1:6" x14ac:dyDescent="0.55000000000000004">
      <c r="A2" s="7" t="s">
        <v>10</v>
      </c>
      <c r="B2" s="1"/>
      <c r="C2" s="1" t="s">
        <v>30</v>
      </c>
      <c r="D2" s="1" t="s">
        <v>11</v>
      </c>
      <c r="E2" s="1" t="s">
        <v>12</v>
      </c>
      <c r="F2" s="1" t="s">
        <v>13</v>
      </c>
    </row>
    <row r="3" spans="1:6" x14ac:dyDescent="0.55000000000000004">
      <c r="A3" s="2">
        <v>41708</v>
      </c>
      <c r="B3" t="s">
        <v>3</v>
      </c>
      <c r="C3" s="5">
        <v>25106160</v>
      </c>
      <c r="D3" s="5"/>
      <c r="E3" s="5"/>
      <c r="F3" s="5">
        <v>850000000</v>
      </c>
    </row>
    <row r="4" spans="1:6" x14ac:dyDescent="0.55000000000000004">
      <c r="A4" s="2">
        <v>41892</v>
      </c>
      <c r="B4" t="s">
        <v>3</v>
      </c>
      <c r="C4" s="5">
        <v>26796250</v>
      </c>
      <c r="D4" s="5">
        <f>(C3+C4)/850000000*100</f>
        <v>6.1061658823529408</v>
      </c>
      <c r="E4" s="5"/>
      <c r="F4" s="5">
        <f>F3</f>
        <v>850000000</v>
      </c>
    </row>
    <row r="5" spans="1:6" x14ac:dyDescent="0.55000000000000004">
      <c r="A5" s="2">
        <v>42080</v>
      </c>
      <c r="B5" t="s">
        <v>3</v>
      </c>
      <c r="C5" s="5">
        <v>26796250</v>
      </c>
      <c r="D5" s="5"/>
      <c r="E5" s="5"/>
      <c r="F5" s="5">
        <f>F3</f>
        <v>850000000</v>
      </c>
    </row>
    <row r="6" spans="1:6" x14ac:dyDescent="0.55000000000000004">
      <c r="A6" s="2">
        <v>42258</v>
      </c>
      <c r="B6" t="s">
        <v>3</v>
      </c>
      <c r="C6" s="5">
        <v>26796250</v>
      </c>
      <c r="D6" s="5">
        <f>(C6+C5)/F6*100</f>
        <v>6.3049999999999997</v>
      </c>
      <c r="E6" s="5"/>
      <c r="F6" s="5">
        <f>F5</f>
        <v>850000000</v>
      </c>
    </row>
    <row r="7" spans="1:6" x14ac:dyDescent="0.55000000000000004">
      <c r="A7" s="2">
        <v>42258</v>
      </c>
      <c r="B7" t="s">
        <v>4</v>
      </c>
      <c r="C7" s="5"/>
      <c r="D7" s="5"/>
      <c r="E7" s="5">
        <v>76500000</v>
      </c>
      <c r="F7" s="5">
        <f>850000000-E7</f>
        <v>773500000</v>
      </c>
    </row>
    <row r="8" spans="1:6" x14ac:dyDescent="0.55000000000000004">
      <c r="A8" s="2">
        <v>42440</v>
      </c>
      <c r="B8" t="s">
        <v>3</v>
      </c>
      <c r="C8" s="5">
        <v>24384587</v>
      </c>
      <c r="D8" s="5">
        <f>C8/F8*100*2</f>
        <v>6.3049998707175172</v>
      </c>
      <c r="E8" s="5"/>
      <c r="F8" s="5">
        <f>F7</f>
        <v>773500000</v>
      </c>
    </row>
    <row r="9" spans="1:6" x14ac:dyDescent="0.55000000000000004">
      <c r="A9" s="2">
        <v>42440</v>
      </c>
      <c r="B9" t="s">
        <v>4</v>
      </c>
      <c r="D9" s="5"/>
      <c r="E9" s="5">
        <v>76500000</v>
      </c>
      <c r="F9" s="5">
        <f>F8-E9</f>
        <v>697000000</v>
      </c>
    </row>
    <row r="10" spans="1:6" x14ac:dyDescent="0.55000000000000004">
      <c r="C10" s="5"/>
      <c r="D10" s="5"/>
      <c r="E10" s="5"/>
      <c r="F10" s="5"/>
    </row>
    <row r="11" spans="1:6" x14ac:dyDescent="0.55000000000000004">
      <c r="A11" s="1" t="s">
        <v>14</v>
      </c>
      <c r="C11" s="8" t="s">
        <v>20</v>
      </c>
    </row>
    <row r="12" spans="1:6" x14ac:dyDescent="0.55000000000000004">
      <c r="A12" s="2">
        <v>42624</v>
      </c>
      <c r="B12" t="s">
        <v>4</v>
      </c>
      <c r="E12" s="5">
        <v>76500000</v>
      </c>
      <c r="F12" s="5">
        <f>F9-E12</f>
        <v>620500000</v>
      </c>
    </row>
    <row r="13" spans="1:6" x14ac:dyDescent="0.55000000000000004">
      <c r="A13" s="2">
        <v>42805</v>
      </c>
      <c r="B13" t="s">
        <v>3</v>
      </c>
      <c r="C13">
        <f>F13/100*D13</f>
        <v>39091500</v>
      </c>
      <c r="D13" s="5">
        <v>6.3</v>
      </c>
      <c r="F13" s="5">
        <f>F9-E12</f>
        <v>620500000</v>
      </c>
    </row>
    <row r="14" spans="1:6" x14ac:dyDescent="0.55000000000000004">
      <c r="A14" s="2">
        <v>42805</v>
      </c>
      <c r="B14" t="s">
        <v>4</v>
      </c>
      <c r="E14" s="5">
        <v>76500000</v>
      </c>
      <c r="F14" s="5">
        <f>F13-E14</f>
        <v>544000000</v>
      </c>
    </row>
    <row r="15" spans="1:6" x14ac:dyDescent="0.55000000000000004">
      <c r="A15" s="2">
        <v>42989</v>
      </c>
      <c r="B15" t="s">
        <v>4</v>
      </c>
      <c r="E15" s="5">
        <v>76500000</v>
      </c>
      <c r="F15" s="5">
        <f>F14-E15</f>
        <v>467500000</v>
      </c>
    </row>
    <row r="16" spans="1:6" x14ac:dyDescent="0.55000000000000004">
      <c r="A16" s="2">
        <v>43170</v>
      </c>
      <c r="B16" t="s">
        <v>3</v>
      </c>
      <c r="C16">
        <f>F16/100*D16</f>
        <v>29452500</v>
      </c>
      <c r="D16">
        <v>6.3</v>
      </c>
      <c r="F16" s="5">
        <f>F15</f>
        <v>467500000</v>
      </c>
    </row>
    <row r="17" spans="1:7" x14ac:dyDescent="0.55000000000000004">
      <c r="A17" s="2">
        <v>43170</v>
      </c>
      <c r="B17" t="s">
        <v>4</v>
      </c>
      <c r="E17" s="5">
        <v>76500000</v>
      </c>
      <c r="F17" s="5">
        <f>F16-E17</f>
        <v>391000000</v>
      </c>
    </row>
    <row r="18" spans="1:7" x14ac:dyDescent="0.55000000000000004">
      <c r="A18" s="2">
        <v>43719</v>
      </c>
      <c r="B18" t="s">
        <v>4</v>
      </c>
      <c r="E18" s="5">
        <v>76500000</v>
      </c>
      <c r="F18" s="5">
        <f>F17-E18</f>
        <v>314500000</v>
      </c>
    </row>
    <row r="19" spans="1:7" x14ac:dyDescent="0.55000000000000004">
      <c r="A19" s="2">
        <v>43535</v>
      </c>
      <c r="B19" t="s">
        <v>3</v>
      </c>
      <c r="C19">
        <f>F19/100*D19</f>
        <v>19813500</v>
      </c>
      <c r="D19">
        <v>6.3</v>
      </c>
      <c r="F19" s="5">
        <f>F18</f>
        <v>314500000</v>
      </c>
    </row>
    <row r="20" spans="1:7" x14ac:dyDescent="0.55000000000000004">
      <c r="A20" s="2">
        <v>43535</v>
      </c>
      <c r="B20" t="s">
        <v>4</v>
      </c>
      <c r="E20" s="5">
        <v>76500000</v>
      </c>
      <c r="F20" s="5">
        <f>F19-E20</f>
        <v>238000000</v>
      </c>
    </row>
    <row r="21" spans="1:7" x14ac:dyDescent="0.55000000000000004">
      <c r="A21" s="2">
        <v>43719</v>
      </c>
      <c r="B21" t="s">
        <v>4</v>
      </c>
      <c r="E21" s="5">
        <v>76500000</v>
      </c>
      <c r="F21" s="5">
        <f>F20-E21</f>
        <v>161500000</v>
      </c>
    </row>
    <row r="22" spans="1:7" x14ac:dyDescent="0.55000000000000004">
      <c r="A22" s="2">
        <v>43901</v>
      </c>
      <c r="B22" t="s">
        <v>3</v>
      </c>
      <c r="C22">
        <f>F22/100*D22</f>
        <v>10174500</v>
      </c>
      <c r="D22">
        <v>6.3</v>
      </c>
      <c r="F22" s="5">
        <f>F21</f>
        <v>161500000</v>
      </c>
    </row>
    <row r="23" spans="1:7" x14ac:dyDescent="0.55000000000000004">
      <c r="A23" s="2">
        <v>43901</v>
      </c>
      <c r="B23" t="s">
        <v>4</v>
      </c>
      <c r="E23" s="5">
        <v>76500000</v>
      </c>
      <c r="F23" s="5">
        <f>F22-E23</f>
        <v>85000000</v>
      </c>
    </row>
    <row r="24" spans="1:7" x14ac:dyDescent="0.55000000000000004">
      <c r="A24" s="2">
        <v>44085</v>
      </c>
      <c r="B24" t="s">
        <v>4</v>
      </c>
      <c r="E24" s="5">
        <v>76500000</v>
      </c>
      <c r="F24" s="5">
        <f>F23-E24</f>
        <v>8500000</v>
      </c>
    </row>
    <row r="25" spans="1:7" x14ac:dyDescent="0.55000000000000004">
      <c r="A25" s="15" t="s">
        <v>24</v>
      </c>
      <c r="B25" s="16"/>
      <c r="C25" s="12">
        <f>SUM(C3:C24)</f>
        <v>228411497</v>
      </c>
      <c r="D25" s="3"/>
      <c r="E25" s="3"/>
      <c r="F25" s="3"/>
      <c r="G25" s="5"/>
    </row>
    <row r="26" spans="1:7" x14ac:dyDescent="0.55000000000000004">
      <c r="A26" t="s">
        <v>34</v>
      </c>
      <c r="C26" s="5">
        <f>C25-C22</f>
        <v>218236997</v>
      </c>
    </row>
  </sheetData>
  <pageMargins left="0.7" right="0.7" top="0.78740157499999996" bottom="0.78740157499999996"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Übersicht</vt:lpstr>
      <vt:lpstr>Proindicus</vt:lpstr>
      <vt:lpstr>Ematum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Zeier</dc:creator>
  <cp:lastModifiedBy>Christian Zeier</cp:lastModifiedBy>
  <dcterms:created xsi:type="dcterms:W3CDTF">2019-07-03T07:37:54Z</dcterms:created>
  <dcterms:modified xsi:type="dcterms:W3CDTF">2019-08-20T16:43:25Z</dcterms:modified>
</cp:coreProperties>
</file>