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comments3.xml" ContentType="application/vnd.openxmlformats-officedocument.spreadsheetml.comments+xml"/>
  <Override PartName="/xl/threadedComments/threadedComment3.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01"/>
  <workbookPr defaultThemeVersion="166925"/>
  <mc:AlternateContent xmlns:mc="http://schemas.openxmlformats.org/markup-compatibility/2006">
    <mc:Choice Requires="x15">
      <x15ac:absPath xmlns:x15ac="http://schemas.microsoft.com/office/spreadsheetml/2010/11/ac" url="C:\Users\chzei\OneDrive\2_Geschichten\1_Mozambik Credit Suisse\Verkauf_Finanzierung Geschichte\MOZ_Faktencheck\"/>
    </mc:Choice>
  </mc:AlternateContent>
  <xr:revisionPtr revIDLastSave="715" documentId="8_{44F07FA1-CFB2-4F7C-9663-8760F78D4EA8}" xr6:coauthVersionLast="43" xr6:coauthVersionMax="43" xr10:uidLastSave="{82E3D602-CAD2-4F6A-95B5-5D0011186B77}"/>
  <bookViews>
    <workbookView xWindow="-96" yWindow="-96" windowWidth="19392" windowHeight="10992" xr2:uid="{FF423CF4-BCDF-4CB0-8BEE-65EF0E760EF7}"/>
  </bookViews>
  <sheets>
    <sheet name="Übersicht" sheetId="5" r:id="rId1"/>
    <sheet name="Proindicus" sheetId="1" r:id="rId2"/>
    <sheet name="Ematum" sheetId="2" r:id="rId3"/>
    <sheet name="MAM" sheetId="3"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4" i="3" l="1"/>
  <c r="D12" i="3"/>
  <c r="D10" i="3"/>
  <c r="D8" i="3"/>
  <c r="C12" i="2"/>
  <c r="C3" i="5" l="1"/>
  <c r="G48" i="2"/>
  <c r="C48" i="2"/>
  <c r="C46" i="2"/>
  <c r="C44" i="2"/>
  <c r="C42" i="2"/>
  <c r="C40" i="2"/>
  <c r="C38" i="2"/>
  <c r="C36" i="2"/>
  <c r="C32" i="2"/>
  <c r="C31" i="2"/>
  <c r="C30" i="2"/>
  <c r="C29" i="2"/>
  <c r="C28" i="2"/>
  <c r="C27" i="2"/>
  <c r="C26" i="2"/>
  <c r="C25" i="2"/>
  <c r="C24" i="2"/>
  <c r="C34" i="2"/>
  <c r="F47" i="2"/>
  <c r="F45" i="2"/>
  <c r="F43" i="2"/>
  <c r="F41" i="2"/>
  <c r="F39" i="2"/>
  <c r="F37" i="2"/>
  <c r="F35" i="2"/>
  <c r="F33" i="2"/>
  <c r="F32" i="2"/>
  <c r="F24" i="2"/>
  <c r="F25" i="2" s="1"/>
  <c r="F26" i="2" s="1"/>
  <c r="F27" i="2" s="1"/>
  <c r="F28" i="2" s="1"/>
  <c r="F29" i="2" s="1"/>
  <c r="F30" i="2" s="1"/>
  <c r="F31" i="2" s="1"/>
  <c r="C23" i="2"/>
  <c r="D4" i="5" l="1"/>
  <c r="C4" i="5"/>
  <c r="G20" i="1"/>
  <c r="C17" i="3"/>
  <c r="G17" i="3" s="1"/>
  <c r="F17" i="3"/>
  <c r="F9" i="3"/>
  <c r="F10" i="3" s="1"/>
  <c r="F4" i="3"/>
  <c r="F8" i="3"/>
  <c r="D4" i="3"/>
  <c r="F19" i="2"/>
  <c r="F11" i="3" l="1"/>
  <c r="F12" i="3" s="1"/>
  <c r="E6" i="1"/>
  <c r="E5" i="1"/>
  <c r="E4" i="1"/>
  <c r="F4" i="2"/>
  <c r="F5" i="2"/>
  <c r="F6" i="2" s="1"/>
  <c r="D6" i="2" s="1"/>
  <c r="F7" i="2"/>
  <c r="F8" i="2" s="1"/>
  <c r="F9" i="2" s="1"/>
  <c r="D4" i="2"/>
  <c r="C13" i="2" l="1"/>
  <c r="C14" i="2" s="1"/>
  <c r="F13" i="3"/>
  <c r="F14" i="3" s="1"/>
  <c r="D8" i="2"/>
  <c r="C15" i="2" l="1"/>
  <c r="C16" i="2"/>
  <c r="C17" i="2" s="1"/>
  <c r="C18" i="2" s="1"/>
  <c r="G11" i="1"/>
  <c r="C19" i="2" l="1"/>
  <c r="D3" i="5" s="1"/>
  <c r="G13" i="1"/>
  <c r="C14" i="1" s="1"/>
  <c r="C12" i="1"/>
  <c r="G12" i="1"/>
  <c r="G7" i="1"/>
  <c r="C10" i="1" s="1"/>
  <c r="G19" i="2" l="1"/>
  <c r="G14" i="1"/>
  <c r="G15" i="1" s="1"/>
  <c r="G16" i="1" s="1"/>
  <c r="G17" i="1" s="1"/>
  <c r="G18" i="1" s="1"/>
  <c r="G19" i="1" s="1"/>
  <c r="G10" i="1"/>
  <c r="C16" i="1" l="1"/>
  <c r="C18" i="1"/>
  <c r="C20" i="1" l="1"/>
  <c r="H20" i="1" s="1"/>
  <c r="C2" i="5"/>
  <c r="D2" i="5" s="1"/>
  <c r="D5" i="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tc={F8FCE3ED-58C2-475B-8D8C-4D5591CCA39D}</author>
    <author>tc={BEFC124D-82DC-4971-A4E9-5273E457ED2C}</author>
  </authors>
  <commentList>
    <comment ref="C3" authorId="0" shapeId="0" xr:uid="{F8FCE3ED-58C2-475B-8D8C-4D5591CCA39D}">
      <text>
        <t>[Kommentarthread]
Ihre Version von Excel gestattet Ihnen das Lesen dieses Kommentarthreads. Jegliche Bearbeitungen daran werden jedoch entfernt, wenn die Datei in einer neueren Version von Excel geöffnet wird. Weitere Informationen: https://go.microsoft.com/fwlink/?linkid=870924.
Kommentar:
    Kroll-Report S.73</t>
      </text>
    </comment>
    <comment ref="D10" authorId="1" shapeId="0" xr:uid="{BEFC124D-82DC-4971-A4E9-5273E457ED2C}">
      <text>
        <t>[Kommentarthread]
Ihre Version von Excel gestattet Ihnen das Lesen dieses Kommentarthreads. Jegliche Bearbeitungen daran werden jedoch entfernt, wenn die Datei in einer neueren Version von Excel geöffnet wird. Weitere Informationen: https://go.microsoft.com/fwlink/?linkid=870924.
Kommentar:
    Bezüglich Zinssatz gibt es wiedersprüchliche Angaben. Verschiedene Quellen gehen davon aus, dass der Zinssatz ab 2015 3.75 plus LIBOR betrug. Um möglichst konservativ zu rechnen und den steigenden LIBOR nicht berücksichtigen zu müssen, wird ab 2017 konstant mit einem Zinssatz von 3.75 gerechnet.
https://www.africaresearchinstitute.org/newsite/publications/mozambiques-debt-crisis-trawling-answers/.</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tc={B48533FE-3EF1-4D72-8763-0F2B0068AD3D}</author>
    <author>tc={19CC3D67-C8F5-47DC-AB23-0D1E3B2CEC25}</author>
    <author>tc={9A8FF879-4F9C-408B-ABAD-079BB0667341}</author>
    <author>tc={0AC69C8E-A09F-40D6-9526-509FFE1FBF80}</author>
    <author>tc={A04DFA80-B7D5-4E98-BC61-D4C282EADF99}</author>
    <author>tc={4515AA1B-86B8-46F2-AB8A-6994014B6C76}</author>
    <author>tc={036FF3B4-16D4-4DA3-B4C3-66758924006F}</author>
    <author>tc={97EA83E0-A827-4F6A-B184-28D8B1B4ED07}</author>
    <author>tc={25AEC6A0-33E7-4537-85FD-90B2C2FD7CF4}</author>
  </authors>
  <commentList>
    <comment ref="C2" authorId="0" shapeId="0" xr:uid="{B48533FE-3EF1-4D72-8763-0F2B0068AD3D}">
      <text>
        <t>[Kommentarthread]
Ihre Version von Excel gestattet Ihnen das Lesen dieses Kommentarthreads. Jegliche Bearbeitungen daran werden jedoch entfernt, wenn die Datei in einer neueren Version von Excel geöffnet wird. Weitere Informationen: https://go.microsoft.com/fwlink/?linkid=870924.
Kommentar:
    siehe Kroll-Report S.113</t>
      </text>
    </comment>
    <comment ref="E7" authorId="1" shapeId="0" xr:uid="{19CC3D67-C8F5-47DC-AB23-0D1E3B2CEC25}">
      <text>
        <t>[Kommentarthread]
Ihre Version von Excel gestattet Ihnen das Lesen dieses Kommentarthreads. Jegliche Bearbeitungen daran werden jedoch entfernt, wenn die Datei in einer neueren Version von Excel geöffnet wird. Weitere Informationen: https://go.microsoft.com/fwlink/?linkid=870924.
Kommentar:
    principal repayment laut Kroll-Report 5.3.2, S. 106</t>
      </text>
    </comment>
    <comment ref="A11" authorId="2" shapeId="0" xr:uid="{9A8FF879-4F9C-408B-ABAD-079BB0667341}">
      <text>
        <t>[Kommentarthread]
Ihre Version von Excel gestattet Ihnen das Lesen dieses Kommentarthreads. Jegliche Bearbeitungen daran werden jedoch entfernt, wenn die Datei in einer neueren Version von Excel geöffnet wird. Weitere Informationen: https://go.microsoft.com/fwlink/?linkid=870924.
Kommentar:
    https://www.bloomberg.com/news/articles/2016-04-01/mozambique-to-issue-sovereign-bond-as-tuna-investors-accept-swap</t>
      </text>
    </comment>
    <comment ref="F11" authorId="3" shapeId="0" xr:uid="{0AC69C8E-A09F-40D6-9526-509FFE1FBF80}">
      <text>
        <t>[Kommentarthread]
Ihre Version von Excel gestattet Ihnen das Lesen dieses Kommentarthreads. Jegliche Bearbeitungen daran werden jedoch entfernt, wenn die Datei in einer neueren Version von Excel geöffnet wird. Weitere Informationen: https://go.microsoft.com/fwlink/?linkid=870924.
Kommentar:
    https://www.bloomberg.com/news/articles/2016-04-01/mozambique-to-issue-sovereign-bond-as-tuna-investors-accept-swap</t>
      </text>
    </comment>
    <comment ref="D12" authorId="4" shapeId="0" xr:uid="{A04DFA80-B7D5-4E98-BC61-D4C282EADF99}">
      <text>
        <t>[Kommentarthread]
Ihre Version von Excel gestattet Ihnen das Lesen dieses Kommentarthreads. Jegliche Bearbeitungen daran werden jedoch entfernt, wenn die Datei in einer neueren Version von Excel geöffnet wird. Weitere Informationen: https://go.microsoft.com/fwlink/?linkid=870924.
Kommentar:
    https://www.bloomberg.com/news/articles/2016-04-01/mozambique-to-issue-sovereign-bond-as-tuna-investors-accept-swap</t>
      </text>
    </comment>
    <comment ref="A22" authorId="5" shapeId="0" xr:uid="{4515AA1B-86B8-46F2-AB8A-6994014B6C76}">
      <text>
        <t>[Kommentarthread]
Ihre Version von Excel gestattet Ihnen das Lesen dieses Kommentarthreads. Jegliche Bearbeitungen daran werden jedoch entfernt, wenn die Datei in einer neueren Version von Excel geöffnet wird. Weitere Informationen: https://go.microsoft.com/fwlink/?linkid=870924.
Kommentar:
    https://clubofmozambique.com/news/finance-ministry-strikes-another-deal-with-ematum-bondholders-aim-report/</t>
      </text>
    </comment>
    <comment ref="D23" authorId="6" shapeId="0" xr:uid="{036FF3B4-16D4-4DA3-B4C3-66758924006F}">
      <text>
        <t>[Kommentarthread]
Ihre Version von Excel gestattet Ihnen das Lesen dieses Kommentarthreads. Jegliche Bearbeitungen daran werden jedoch entfernt, wenn die Datei in einer neueren Version von Excel geöffnet wird. Weitere Informationen: https://go.microsoft.com/fwlink/?linkid=870924.
Kommentar:
    https://clubofmozambique.com/news/finance-ministry-strikes-another-deal-with-ematum-bondholders-aim-report/</t>
      </text>
    </comment>
    <comment ref="D28" authorId="7" shapeId="0" xr:uid="{97EA83E0-A827-4F6A-B184-28D8B1B4ED07}">
      <text>
        <t>[Kommentarthread]
Ihre Version von Excel gestattet Ihnen das Lesen dieses Kommentarthreads. Jegliche Bearbeitungen daran werden jedoch entfernt, wenn die Datei in einer neueren Version von Excel geöffnet wird. Weitere Informationen: https://go.microsoft.com/fwlink/?linkid=870924.
Kommentar:
    Ab 2024 höhere Zinsen. Siehe: https://clubofmozambique.com/news/finance-ministry-strikes-another-deal-with-ematum-bondholders-aim-report/</t>
      </text>
    </comment>
    <comment ref="E33" authorId="8" shapeId="0" xr:uid="{25AEC6A0-33E7-4537-85FD-90B2C2FD7CF4}">
      <text>
        <t>[Kommentarthread]
Ihre Version von Excel gestattet Ihnen das Lesen dieses Kommentarthreads. Jegliche Bearbeitungen daran werden jedoch entfernt, wenn die Datei in einer neueren Version von Excel geöffnet wird. Weitere Informationen: https://go.microsoft.com/fwlink/?linkid=870924.
Kommentar:
    ab 2028 Rückzahlung, siehe: https://clubofmozambique.com/news/finance-ministry-strikes-another-deal-with-ematum-bondholders-aim-report/</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tc={A03FF920-124E-4079-95D4-45955FCEDA70}</author>
    <author>tc={8026DA5F-83D3-496B-AE4D-D30D61C4AD8D}</author>
    <author>tc={2F029DF4-B1BA-4323-9233-95C6B742805C}</author>
    <author>tc={4E1AE827-D315-4823-9965-1ABE60D0EDE2}</author>
  </authors>
  <commentList>
    <comment ref="C3" authorId="0" shapeId="0" xr:uid="{A03FF920-124E-4079-95D4-45955FCEDA70}">
      <text>
        <t>[Kommentarthread]
Ihre Version von Excel gestattet Ihnen das Lesen dieses Kommentarthreads. Jegliche Bearbeitungen daran werden jedoch entfernt, wenn die Datei in einer neueren Version von Excel geöffnet wird. Weitere Informationen: https://go.microsoft.com/fwlink/?linkid=870924.
Kommentar:
    Kroll S. 149</t>
      </text>
    </comment>
    <comment ref="D3" authorId="1" shapeId="0" xr:uid="{8026DA5F-83D3-496B-AE4D-D30D61C4AD8D}">
      <text>
        <t>[Kommentarthread]
Ihre Version von Excel gestattet Ihnen das Lesen dieses Kommentarthreads. Jegliche Bearbeitungen daran werden jedoch entfernt, wenn die Datei in einer neueren Version von Excel geöffnet wird. Weitere Informationen: https://go.microsoft.com/fwlink/?linkid=870924.
Kommentar:
    Kroll-Report S. 146</t>
      </text>
    </comment>
    <comment ref="D8" authorId="2" shapeId="0" xr:uid="{2F029DF4-B1BA-4323-9233-95C6B742805C}">
      <text>
        <t>[Kommentarthread]
Ihre Version von Excel gestattet Ihnen das Lesen dieses Kommentarthreads. Jegliche Bearbeitungen daran werden jedoch entfernt, wenn die Datei in einer neueren Version von Excel geöffnet wird. Weitere Informationen: https://go.microsoft.com/fwlink/?linkid=870924.
Kommentar:
    2015 betug der effektive Zinssatz 7.63%. Um möglichst konservativ zu rechnen und den steigenden LIBOR nicht berücksichtigen zu müssen, wird ab 2016 konstant mit demselben Zinssatz von 7.63 gerechnet.</t>
      </text>
    </comment>
    <comment ref="F8" authorId="3" shapeId="0" xr:uid="{4E1AE827-D315-4823-9965-1ABE60D0EDE2}">
      <text>
        <t>[Kommentarthread]
Ihre Version von Excel gestattet Ihnen das Lesen dieses Kommentarthreads. Jegliche Bearbeitungen daran werden jedoch entfernt, wenn die Datei in einer neueren Version von Excel geöffnet wird. Weitere Informationen: https://go.microsoft.com/fwlink/?linkid=870924.
Kommentar:
    Keine Rückzahlungen</t>
      </text>
    </comment>
  </commentList>
</comments>
</file>

<file path=xl/sharedStrings.xml><?xml version="1.0" encoding="utf-8"?>
<sst xmlns="http://schemas.openxmlformats.org/spreadsheetml/2006/main" count="115" uniqueCount="48">
  <si>
    <t>Gesamtkosten</t>
  </si>
  <si>
    <t>interest Proindicus to CS</t>
  </si>
  <si>
    <t>Zins</t>
  </si>
  <si>
    <t>Proindicus (2013-2021, 622 M, Libor +3.2% )</t>
  </si>
  <si>
    <t>Rückzahlung</t>
  </si>
  <si>
    <t>Ausstehend</t>
  </si>
  <si>
    <t>Rückzahlungen</t>
  </si>
  <si>
    <t>Zahlungen (Kroll)</t>
  </si>
  <si>
    <t xml:space="preserve">Bisherige Zahlungen </t>
  </si>
  <si>
    <t>Zins (eigene Berechnung)</t>
  </si>
  <si>
    <t>https://clubofmozambique.com/news/maleiane-confirms-agreement-to-restructure-mam-debt-proindicus-sovereign-guarantees-to-be-withdrawn/</t>
  </si>
  <si>
    <t>Betreff</t>
  </si>
  <si>
    <t>Ematum (2013-2020, 850 M, 6%)</t>
  </si>
  <si>
    <t>interest Ematum to CS</t>
  </si>
  <si>
    <t>principal rückzahlung</t>
  </si>
  <si>
    <t>Zahlung 2017</t>
  </si>
  <si>
    <t>Zahlung 2018</t>
  </si>
  <si>
    <t>Zahlung 2019</t>
  </si>
  <si>
    <t>Zahlung 2020</t>
  </si>
  <si>
    <t>Zahlung 2021</t>
  </si>
  <si>
    <t>Zahlung 2022</t>
  </si>
  <si>
    <t>Zahlung 2023</t>
  </si>
  <si>
    <t>TOTAL</t>
  </si>
  <si>
    <t>https://clubofmozambique.com/news/government-releases-details-proindicus-mam-loans-aim-report/</t>
  </si>
  <si>
    <t xml:space="preserve">Rückzahlung </t>
  </si>
  <si>
    <t>Zinszahlungen (eigene Berechnung)</t>
  </si>
  <si>
    <t>Zinszahlungen (Kroll)</t>
  </si>
  <si>
    <t>interest payment</t>
  </si>
  <si>
    <t>Berechnungen</t>
  </si>
  <si>
    <t>Kosten ohne Restukturierung (konservativ)</t>
  </si>
  <si>
    <t>Konditionen Restrukturierung?</t>
  </si>
  <si>
    <t>Kosten ohne Restrukturierung (konservativ)</t>
  </si>
  <si>
    <t>Kosten ohne 2. Restrukturierung (konservativ)</t>
  </si>
  <si>
    <t>Zinsen</t>
  </si>
  <si>
    <t>Total</t>
  </si>
  <si>
    <t>Proindicus (vor Restrukturierung)</t>
  </si>
  <si>
    <t>MAM (vor Restrukturierung)</t>
  </si>
  <si>
    <t>Voraussichtliche 2. Restrukturierung (15.7.19)</t>
  </si>
  <si>
    <t>interest Ematum</t>
  </si>
  <si>
    <t>Total Kosten nach 2. Restrukturierug</t>
  </si>
  <si>
    <t>Ematum (nach 2. Restrukturierung)</t>
  </si>
  <si>
    <t xml:space="preserve"> Kredit</t>
  </si>
  <si>
    <t>Prognostizierte Kosten</t>
  </si>
  <si>
    <t>Ausstehende Zahlungen</t>
  </si>
  <si>
    <t xml:space="preserve">Restrukturierung Ematum April 2016 (2016-2023, 10.5%) </t>
  </si>
  <si>
    <t>MAM (2013-2019, 535 M, LIBOR+7%)</t>
  </si>
  <si>
    <t>Gebühren Restrukturierung</t>
  </si>
  <si>
    <t>Bemerkung: Werden Proindicus und MAM ähnlich
restrukturiert wie Ematum, dürften die Kosten für Moçambique deutlich über 4 Milliarden steigen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</si>
</sst>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b/>
      <sz val="11"/>
      <color theme="1"/>
      <name val="Calibri"/>
      <family val="2"/>
      <scheme val="minor"/>
    </font>
    <font>
      <u/>
      <sz val="11"/>
      <color theme="10"/>
      <name val="Calibri"/>
      <family val="2"/>
      <scheme val="minor"/>
    </font>
    <font>
      <sz val="9"/>
      <color indexed="81"/>
      <name val="Segoe UI"/>
      <family val="2"/>
    </font>
  </fonts>
  <fills count="5">
    <fill>
      <patternFill patternType="none"/>
    </fill>
    <fill>
      <patternFill patternType="gray125"/>
    </fill>
    <fill>
      <patternFill patternType="solid">
        <fgColor theme="2"/>
        <bgColor indexed="64"/>
      </patternFill>
    </fill>
    <fill>
      <patternFill patternType="solid">
        <fgColor theme="0" tint="-0.14999847407452621"/>
        <bgColor indexed="64"/>
      </patternFill>
    </fill>
    <fill>
      <patternFill patternType="solid">
        <fgColor rgb="FFFFFF00"/>
        <bgColor indexed="64"/>
      </patternFill>
    </fill>
  </fills>
  <borders count="1">
    <border>
      <left/>
      <right/>
      <top/>
      <bottom/>
      <diagonal/>
    </border>
  </borders>
  <cellStyleXfs count="2">
    <xf numFmtId="0" fontId="0" fillId="0" borderId="0"/>
    <xf numFmtId="0" fontId="2" fillId="0" borderId="0" applyNumberFormat="0" applyFill="0" applyBorder="0" applyAlignment="0" applyProtection="0"/>
  </cellStyleXfs>
  <cellXfs count="20">
    <xf numFmtId="0" fontId="0" fillId="0" borderId="0" xfId="0"/>
    <xf numFmtId="0" fontId="1" fillId="0" borderId="0" xfId="0" applyFont="1"/>
    <xf numFmtId="14" fontId="0" fillId="0" borderId="0" xfId="0" applyNumberFormat="1"/>
    <xf numFmtId="4" fontId="1" fillId="0" borderId="0" xfId="0" applyNumberFormat="1" applyFont="1"/>
    <xf numFmtId="14" fontId="0" fillId="0" borderId="0" xfId="0" applyNumberFormat="1" applyFont="1"/>
    <xf numFmtId="14" fontId="1" fillId="0" borderId="0" xfId="0" applyNumberFormat="1" applyFont="1"/>
    <xf numFmtId="4" fontId="0" fillId="0" borderId="0" xfId="0" applyNumberFormat="1"/>
    <xf numFmtId="4" fontId="1" fillId="2" borderId="0" xfId="0" applyNumberFormat="1" applyFont="1" applyFill="1"/>
    <xf numFmtId="0" fontId="0" fillId="3" borderId="0" xfId="0" applyFill="1"/>
    <xf numFmtId="14" fontId="1" fillId="2" borderId="0" xfId="0" applyNumberFormat="1" applyFont="1" applyFill="1"/>
    <xf numFmtId="0" fontId="1" fillId="2" borderId="0" xfId="0" applyFont="1" applyFill="1"/>
    <xf numFmtId="14" fontId="0" fillId="4" borderId="0" xfId="0" applyNumberFormat="1" applyFill="1"/>
    <xf numFmtId="0" fontId="0" fillId="4" borderId="0" xfId="0" applyFill="1"/>
    <xf numFmtId="4" fontId="1" fillId="3" borderId="0" xfId="0" applyNumberFormat="1" applyFont="1" applyFill="1"/>
    <xf numFmtId="0" fontId="1" fillId="3" borderId="0" xfId="0" applyFont="1" applyFill="1"/>
    <xf numFmtId="0" fontId="1" fillId="4" borderId="0" xfId="0" applyFont="1" applyFill="1"/>
    <xf numFmtId="17" fontId="0" fillId="0" borderId="0" xfId="0" applyNumberFormat="1" applyFont="1"/>
    <xf numFmtId="4" fontId="0" fillId="3" borderId="0" xfId="0" applyNumberFormat="1" applyFill="1"/>
    <xf numFmtId="0" fontId="0" fillId="4" borderId="0" xfId="0" applyFill="1" applyAlignment="1">
      <alignment wrapText="1"/>
    </xf>
    <xf numFmtId="0" fontId="2" fillId="0" borderId="0" xfId="1"/>
  </cellXfs>
  <cellStyles count="2">
    <cellStyle name="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alcChain" Target="calcChain.xml"/></Relationships>
</file>

<file path=xl/persons/person.xml><?xml version="1.0" encoding="utf-8"?>
<personList xmlns="http://schemas.microsoft.com/office/spreadsheetml/2018/threadedcomments" xmlns:x="http://schemas.openxmlformats.org/spreadsheetml/2006/main">
  <person displayName="Christian Zeier" id="{0C08D945-5E47-4208-88EF-BAE2D305C697}" userId="d08035532aa09379" providerId="Windows Live"/>
</personList>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3" dT="2019-08-07T14:16:59.52" personId="{0C08D945-5E47-4208-88EF-BAE2D305C697}" id="{F8FCE3ED-58C2-475B-8D8C-4D5591CCA39D}">
    <text>Kroll-Report S.73</text>
  </threadedComment>
  <threadedComment ref="D10" dT="2019-08-07T14:17:33.45" personId="{0C08D945-5E47-4208-88EF-BAE2D305C697}" id="{BEFC124D-82DC-4971-A4E9-5273E457ED2C}">
    <text>Bezüglich Zinssatz gibt es wiedersprüchliche Angaben. Verschiedene Quellen gehen davon aus, dass der Zinssatz ab 2015 3.75 plus LIBOR betrug. Um möglichst konservativ zu rechnen und den steigenden LIBOR nicht berücksichtigen zu müssen, wird ab 2017 konstant mit einem Zinssatz von 3.75 gerechnet.
https://www.africaresearchinstitute.org/newsite/publications/mozambiques-debt-crisis-trawling-answers/.</text>
  </threadedComment>
</ThreadedComments>
</file>

<file path=xl/threadedComments/threadedComment2.xml><?xml version="1.0" encoding="utf-8"?>
<ThreadedComments xmlns="http://schemas.microsoft.com/office/spreadsheetml/2018/threadedcomments" xmlns:x="http://schemas.openxmlformats.org/spreadsheetml/2006/main">
  <threadedComment ref="C2" dT="2019-08-07T14:22:32.41" personId="{0C08D945-5E47-4208-88EF-BAE2D305C697}" id="{B48533FE-3EF1-4D72-8763-0F2B0068AD3D}">
    <text>siehe Kroll-Report S.113</text>
  </threadedComment>
  <threadedComment ref="E7" dT="2019-08-07T14:22:17.43" personId="{0C08D945-5E47-4208-88EF-BAE2D305C697}" id="{19CC3D67-C8F5-47DC-AB23-0D1E3B2CEC25}">
    <text>principal repayment laut Kroll-Report 5.3.2, S. 106</text>
  </threadedComment>
  <threadedComment ref="A11" dT="2019-08-07T14:21:27.11" personId="{0C08D945-5E47-4208-88EF-BAE2D305C697}" id="{9A8FF879-4F9C-408B-ABAD-079BB0667341}">
    <text>https://www.bloomberg.com/news/articles/2016-04-01/mozambique-to-issue-sovereign-bond-as-tuna-investors-accept-swap</text>
  </threadedComment>
  <threadedComment ref="F11" dT="2019-08-07T14:21:47.70" personId="{0C08D945-5E47-4208-88EF-BAE2D305C697}" id="{0AC69C8E-A09F-40D6-9526-509FFE1FBF80}">
    <text>https://www.bloomberg.com/news/articles/2016-04-01/mozambique-to-issue-sovereign-bond-as-tuna-investors-accept-swap</text>
  </threadedComment>
  <threadedComment ref="D12" dT="2019-08-07T14:29:39.00" personId="{0C08D945-5E47-4208-88EF-BAE2D305C697}" id="{A04DFA80-B7D5-4E98-BC61-D4C282EADF99}">
    <text>https://www.bloomberg.com/news/articles/2016-04-01/mozambique-to-issue-sovereign-bond-as-tuna-investors-accept-swap</text>
  </threadedComment>
  <threadedComment ref="A22" dT="2019-08-07T14:19:06.19" personId="{0C08D945-5E47-4208-88EF-BAE2D305C697}" id="{4515AA1B-86B8-46F2-AB8A-6994014B6C76}">
    <text>https://clubofmozambique.com/news/finance-ministry-strikes-another-deal-with-ematum-bondholders-aim-report/</text>
  </threadedComment>
  <threadedComment ref="D23" dT="2019-08-07T14:30:00.77" personId="{0C08D945-5E47-4208-88EF-BAE2D305C697}" id="{036FF3B4-16D4-4DA3-B4C3-66758924006F}">
    <text>https://clubofmozambique.com/news/finance-ministry-strikes-another-deal-with-ematum-bondholders-aim-report/</text>
  </threadedComment>
  <threadedComment ref="D28" dT="2019-08-07T14:30:15.24" personId="{0C08D945-5E47-4208-88EF-BAE2D305C697}" id="{97EA83E0-A827-4F6A-B184-28D8B1B4ED07}">
    <text>Ab 2024 höhere Zinsen. Siehe: https://clubofmozambique.com/news/finance-ministry-strikes-another-deal-with-ematum-bondholders-aim-report/</text>
  </threadedComment>
  <threadedComment ref="E33" dT="2019-08-07T14:30:38.61" personId="{0C08D945-5E47-4208-88EF-BAE2D305C697}" id="{25AEC6A0-33E7-4537-85FD-90B2C2FD7CF4}">
    <text>ab 2028 Rückzahlung, siehe: https://clubofmozambique.com/news/finance-ministry-strikes-another-deal-with-ematum-bondholders-aim-report/</text>
  </threadedComment>
</ThreadedComments>
</file>

<file path=xl/threadedComments/threadedComment3.xml><?xml version="1.0" encoding="utf-8"?>
<ThreadedComments xmlns="http://schemas.microsoft.com/office/spreadsheetml/2018/threadedcomments" xmlns:x="http://schemas.openxmlformats.org/spreadsheetml/2006/main">
  <threadedComment ref="C3" dT="2019-08-07T14:25:17.53" personId="{0C08D945-5E47-4208-88EF-BAE2D305C697}" id="{A03FF920-124E-4079-95D4-45955FCEDA70}">
    <text>Kroll S. 149</text>
  </threadedComment>
  <threadedComment ref="D3" dT="2019-08-07T14:24:16.73" personId="{0C08D945-5E47-4208-88EF-BAE2D305C697}" id="{8026DA5F-83D3-496B-AE4D-D30D61C4AD8D}">
    <text>Kroll-Report S. 146</text>
  </threadedComment>
  <threadedComment ref="D8" dT="2019-08-07T14:27:18.35" personId="{0C08D945-5E47-4208-88EF-BAE2D305C697}" id="{2F029DF4-B1BA-4323-9233-95C6B742805C}">
    <text>2015 betug der effektive Zinssatz 7.63%. Um möglichst konservativ zu rechnen und den steigenden LIBOR nicht berücksichtigen zu müssen, wird ab 2016 konstant mit demselben Zinssatz von 7.63 gerechnet.</text>
  </threadedComment>
  <threadedComment ref="F8" dT="2019-08-07T14:27:34.00" personId="{0C08D945-5E47-4208-88EF-BAE2D305C697}" id="{4E1AE827-D315-4823-9965-1ABE60D0EDE2}">
    <text>Keine Rückzahlungen</text>
  </threadedComment>
</ThreadedComment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s://clubofmozambique.com/news/government-releases-details-proindicus-mam-loans-aim-report/" TargetMode="External"/><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 Id="rId4" Type="http://schemas.microsoft.com/office/2017/10/relationships/threadedComment" Target="../threadedComments/threadedComment2.xml"/></Relationships>
</file>

<file path=xl/worksheets/_rels/sheet4.xml.rels><?xml version="1.0" encoding="UTF-8" standalone="yes"?>
<Relationships xmlns="http://schemas.openxmlformats.org/package/2006/relationships"><Relationship Id="rId3" Type="http://schemas.microsoft.com/office/2017/10/relationships/threadedComment" Target="../threadedComments/threadedComment3.xml"/><Relationship Id="rId2" Type="http://schemas.openxmlformats.org/officeDocument/2006/relationships/comments" Target="../comments3.x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89D002-AB81-430B-BC51-8785567B23CB}">
  <dimension ref="A1:D11"/>
  <sheetViews>
    <sheetView tabSelected="1" workbookViewId="0">
      <selection activeCell="B9" sqref="B9"/>
    </sheetView>
  </sheetViews>
  <sheetFormatPr baseColWidth="10" defaultRowHeight="14.4" x14ac:dyDescent="0.55000000000000004"/>
  <cols>
    <col min="1" max="1" width="39.9453125" customWidth="1"/>
    <col min="2" max="2" width="28" customWidth="1"/>
    <col min="3" max="3" width="13" bestFit="1" customWidth="1"/>
    <col min="4" max="4" width="14.41796875" bestFit="1" customWidth="1"/>
  </cols>
  <sheetData>
    <row r="1" spans="1:4" x14ac:dyDescent="0.55000000000000004">
      <c r="A1" s="5" t="s">
        <v>42</v>
      </c>
      <c r="B1" t="s">
        <v>41</v>
      </c>
      <c r="C1" t="s">
        <v>33</v>
      </c>
      <c r="D1" t="s">
        <v>34</v>
      </c>
    </row>
    <row r="2" spans="1:4" x14ac:dyDescent="0.55000000000000004">
      <c r="A2" t="s">
        <v>35</v>
      </c>
      <c r="B2" s="6">
        <v>622000000</v>
      </c>
      <c r="C2" s="6">
        <f>Proindicus!C20</f>
        <v>180436914</v>
      </c>
      <c r="D2" s="6">
        <f>C2+B2</f>
        <v>802436914</v>
      </c>
    </row>
    <row r="3" spans="1:4" x14ac:dyDescent="0.55000000000000004">
      <c r="A3" t="s">
        <v>40</v>
      </c>
      <c r="B3" s="6">
        <v>900000000</v>
      </c>
      <c r="C3" s="6">
        <f>Ematum!C48</f>
        <v>913500000</v>
      </c>
      <c r="D3" s="6">
        <f>C3+B3</f>
        <v>1813500000</v>
      </c>
    </row>
    <row r="4" spans="1:4" x14ac:dyDescent="0.55000000000000004">
      <c r="A4" t="s">
        <v>36</v>
      </c>
      <c r="B4" s="6">
        <v>535000000</v>
      </c>
      <c r="C4" s="6">
        <f>MAM!C17</f>
        <v>163200000</v>
      </c>
      <c r="D4" s="6">
        <f>C4+B4</f>
        <v>698200000</v>
      </c>
    </row>
    <row r="5" spans="1:4" x14ac:dyDescent="0.55000000000000004">
      <c r="D5" s="6">
        <f>SUM(D2:D4)</f>
        <v>3314136914</v>
      </c>
    </row>
    <row r="7" spans="1:4" x14ac:dyDescent="0.55000000000000004">
      <c r="A7" s="5"/>
    </row>
    <row r="8" spans="1:4" ht="57.6" x14ac:dyDescent="0.55000000000000004">
      <c r="A8" s="18" t="s">
        <v>47</v>
      </c>
      <c r="B8" s="6"/>
      <c r="C8" s="6"/>
      <c r="D8" s="6"/>
    </row>
    <row r="9" spans="1:4" x14ac:dyDescent="0.55000000000000004">
      <c r="B9" s="6"/>
      <c r="C9" s="6"/>
      <c r="D9" s="6"/>
    </row>
    <row r="10" spans="1:4" x14ac:dyDescent="0.55000000000000004">
      <c r="B10" s="6"/>
      <c r="C10" s="6"/>
      <c r="D10" s="6"/>
    </row>
    <row r="11" spans="1:4" x14ac:dyDescent="0.55000000000000004">
      <c r="D11" s="6"/>
    </row>
  </sheetData>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8B92B8-6540-4A2A-8AC0-1FAE045A5047}">
  <dimension ref="A1:I27"/>
  <sheetViews>
    <sheetView topLeftCell="A2" workbookViewId="0">
      <selection activeCell="C14" sqref="C14"/>
    </sheetView>
  </sheetViews>
  <sheetFormatPr baseColWidth="10" defaultRowHeight="14.4" x14ac:dyDescent="0.55000000000000004"/>
  <cols>
    <col min="1" max="1" width="38.83984375" style="2" customWidth="1"/>
    <col min="2" max="2" width="21.7890625" customWidth="1"/>
    <col min="3" max="3" width="29.20703125" customWidth="1"/>
    <col min="4" max="4" width="11" bestFit="1" customWidth="1"/>
    <col min="5" max="5" width="20.89453125" customWidth="1"/>
    <col min="6" max="6" width="13" bestFit="1" customWidth="1"/>
    <col min="7" max="7" width="15.734375" customWidth="1"/>
    <col min="8" max="8" width="17.3671875" customWidth="1"/>
  </cols>
  <sheetData>
    <row r="1" spans="1:9" x14ac:dyDescent="0.55000000000000004">
      <c r="A1" s="2" t="s">
        <v>0</v>
      </c>
    </row>
    <row r="2" spans="1:9" x14ac:dyDescent="0.55000000000000004">
      <c r="A2" s="5" t="s">
        <v>3</v>
      </c>
    </row>
    <row r="3" spans="1:9" x14ac:dyDescent="0.55000000000000004">
      <c r="A3" s="4" t="s">
        <v>8</v>
      </c>
      <c r="B3" t="s">
        <v>11</v>
      </c>
      <c r="C3" t="s">
        <v>26</v>
      </c>
      <c r="D3" t="s">
        <v>2</v>
      </c>
      <c r="E3" t="s">
        <v>9</v>
      </c>
      <c r="F3" t="s">
        <v>6</v>
      </c>
      <c r="G3" t="s">
        <v>5</v>
      </c>
    </row>
    <row r="4" spans="1:9" x14ac:dyDescent="0.55000000000000004">
      <c r="A4" s="2">
        <v>41719</v>
      </c>
      <c r="B4" t="s">
        <v>1</v>
      </c>
      <c r="C4" s="6">
        <v>16759654</v>
      </c>
      <c r="D4">
        <v>3.2</v>
      </c>
      <c r="E4" s="6">
        <f>C4/G4*100</f>
        <v>2.6944781350482314</v>
      </c>
      <c r="F4" s="6"/>
      <c r="G4" s="6">
        <v>622000000</v>
      </c>
    </row>
    <row r="5" spans="1:9" x14ac:dyDescent="0.55000000000000004">
      <c r="A5" s="2">
        <v>42086</v>
      </c>
      <c r="B5" t="s">
        <v>1</v>
      </c>
      <c r="C5" s="6">
        <v>23813417</v>
      </c>
      <c r="D5" s="6">
        <v>3.75</v>
      </c>
      <c r="E5" s="6">
        <f>C5/G5*100</f>
        <v>3.8285236334405144</v>
      </c>
      <c r="F5" s="6"/>
      <c r="G5" s="6">
        <v>622000000</v>
      </c>
    </row>
    <row r="6" spans="1:9" x14ac:dyDescent="0.55000000000000004">
      <c r="A6" s="2">
        <v>42450</v>
      </c>
      <c r="B6" t="s">
        <v>1</v>
      </c>
      <c r="C6" s="6">
        <v>27903843</v>
      </c>
      <c r="D6" s="6">
        <v>3.75</v>
      </c>
      <c r="E6" s="6">
        <f>C6/G6*100</f>
        <v>4.4861483922829581</v>
      </c>
      <c r="F6" s="6"/>
      <c r="G6" s="6">
        <v>622000000</v>
      </c>
    </row>
    <row r="7" spans="1:9" x14ac:dyDescent="0.55000000000000004">
      <c r="A7" s="2">
        <v>42450</v>
      </c>
      <c r="B7" t="s">
        <v>24</v>
      </c>
      <c r="C7" s="6"/>
      <c r="D7" s="6"/>
      <c r="E7" s="6"/>
      <c r="F7" s="6">
        <v>24880000</v>
      </c>
      <c r="G7" s="6">
        <f>622000000-F7</f>
        <v>597120000</v>
      </c>
    </row>
    <row r="8" spans="1:9" x14ac:dyDescent="0.55000000000000004">
      <c r="C8" s="6"/>
      <c r="D8" s="3"/>
      <c r="E8" s="6"/>
      <c r="F8" s="6"/>
      <c r="G8" s="6"/>
    </row>
    <row r="9" spans="1:9" x14ac:dyDescent="0.55000000000000004">
      <c r="A9" s="4" t="s">
        <v>43</v>
      </c>
      <c r="C9" s="6" t="s">
        <v>25</v>
      </c>
      <c r="D9" s="6"/>
      <c r="E9" s="6"/>
      <c r="F9" s="6"/>
      <c r="G9" s="6"/>
    </row>
    <row r="10" spans="1:9" x14ac:dyDescent="0.55000000000000004">
      <c r="A10" s="2">
        <v>42815</v>
      </c>
      <c r="B10" t="s">
        <v>1</v>
      </c>
      <c r="C10" s="6">
        <f>G7/100*(D10)</f>
        <v>22392000</v>
      </c>
      <c r="D10" s="6">
        <v>3.75</v>
      </c>
      <c r="F10" s="6"/>
      <c r="G10" s="6">
        <f>G7</f>
        <v>597120000</v>
      </c>
      <c r="I10" s="19" t="s">
        <v>23</v>
      </c>
    </row>
    <row r="11" spans="1:9" x14ac:dyDescent="0.55000000000000004">
      <c r="A11" s="2">
        <v>42815</v>
      </c>
      <c r="B11" t="s">
        <v>24</v>
      </c>
      <c r="C11" s="6"/>
      <c r="D11" s="6"/>
      <c r="F11" s="6">
        <v>0</v>
      </c>
      <c r="G11" s="6">
        <f>G4-F7-F11</f>
        <v>597120000</v>
      </c>
    </row>
    <row r="12" spans="1:9" x14ac:dyDescent="0.55000000000000004">
      <c r="A12" s="2">
        <v>43180</v>
      </c>
      <c r="B12" t="s">
        <v>1</v>
      </c>
      <c r="C12" s="6">
        <f>G11/100*(D12)</f>
        <v>22392000</v>
      </c>
      <c r="D12" s="6">
        <v>3.75</v>
      </c>
      <c r="F12" s="6"/>
      <c r="G12" s="6">
        <f>G11</f>
        <v>597120000</v>
      </c>
    </row>
    <row r="13" spans="1:9" x14ac:dyDescent="0.55000000000000004">
      <c r="A13" s="2">
        <v>43180</v>
      </c>
      <c r="B13" t="s">
        <v>24</v>
      </c>
      <c r="C13" s="6"/>
      <c r="D13" s="6"/>
      <c r="F13" s="6">
        <v>0</v>
      </c>
      <c r="G13" s="6">
        <f>G11-F13</f>
        <v>597120000</v>
      </c>
    </row>
    <row r="14" spans="1:9" x14ac:dyDescent="0.55000000000000004">
      <c r="A14" s="2">
        <v>43545</v>
      </c>
      <c r="B14" t="s">
        <v>1</v>
      </c>
      <c r="C14" s="6">
        <f>G13/100*(D14)</f>
        <v>22392000</v>
      </c>
      <c r="D14" s="6">
        <v>3.75</v>
      </c>
      <c r="F14" s="6"/>
      <c r="G14" s="6">
        <f>G13</f>
        <v>597120000</v>
      </c>
    </row>
    <row r="15" spans="1:9" x14ac:dyDescent="0.55000000000000004">
      <c r="A15" s="2">
        <v>43545</v>
      </c>
      <c r="B15" t="s">
        <v>4</v>
      </c>
      <c r="D15" s="6"/>
      <c r="F15" s="6">
        <v>0</v>
      </c>
      <c r="G15" s="6">
        <f>G14-F15</f>
        <v>597120000</v>
      </c>
    </row>
    <row r="16" spans="1:9" x14ac:dyDescent="0.55000000000000004">
      <c r="A16" s="2">
        <v>43911</v>
      </c>
      <c r="B16" t="s">
        <v>1</v>
      </c>
      <c r="C16" s="6">
        <f>G16/100*D16</f>
        <v>22392000</v>
      </c>
      <c r="D16" s="6">
        <v>3.75</v>
      </c>
      <c r="F16" s="6"/>
      <c r="G16" s="6">
        <f>G15</f>
        <v>597120000</v>
      </c>
    </row>
    <row r="17" spans="1:8" x14ac:dyDescent="0.55000000000000004">
      <c r="A17" s="2">
        <v>43911</v>
      </c>
      <c r="B17" t="s">
        <v>4</v>
      </c>
      <c r="C17" s="6"/>
      <c r="D17" s="6"/>
      <c r="F17" s="6">
        <v>0</v>
      </c>
      <c r="G17" s="6">
        <f>G16-F17</f>
        <v>597120000</v>
      </c>
    </row>
    <row r="18" spans="1:8" x14ac:dyDescent="0.55000000000000004">
      <c r="A18" s="2">
        <v>44276</v>
      </c>
      <c r="B18" t="s">
        <v>1</v>
      </c>
      <c r="C18" s="6">
        <f>G18/100*D18</f>
        <v>22392000</v>
      </c>
      <c r="D18" s="6">
        <v>3.75</v>
      </c>
      <c r="F18" s="6"/>
      <c r="G18" s="6">
        <f>G17</f>
        <v>597120000</v>
      </c>
    </row>
    <row r="19" spans="1:8" x14ac:dyDescent="0.55000000000000004">
      <c r="A19" s="2">
        <v>44276</v>
      </c>
      <c r="B19" t="s">
        <v>4</v>
      </c>
      <c r="C19" s="6"/>
      <c r="D19" s="6"/>
      <c r="F19" s="6">
        <v>0</v>
      </c>
      <c r="G19" s="6">
        <f>G18</f>
        <v>597120000</v>
      </c>
    </row>
    <row r="20" spans="1:8" x14ac:dyDescent="0.55000000000000004">
      <c r="A20" s="9" t="s">
        <v>29</v>
      </c>
      <c r="B20" s="10"/>
      <c r="C20" s="7">
        <f>SUM(C10:C19)+C6+C5+C4</f>
        <v>180436914</v>
      </c>
      <c r="D20" s="7"/>
      <c r="E20" s="10"/>
      <c r="F20" s="7"/>
      <c r="G20" s="7">
        <f>G4</f>
        <v>622000000</v>
      </c>
      <c r="H20" s="7">
        <f>G20+C20</f>
        <v>802436914</v>
      </c>
    </row>
    <row r="21" spans="1:8" x14ac:dyDescent="0.55000000000000004">
      <c r="A21" s="11" t="s">
        <v>30</v>
      </c>
      <c r="D21" s="6"/>
      <c r="E21" s="6"/>
      <c r="F21" s="6"/>
      <c r="G21" s="6"/>
    </row>
    <row r="22" spans="1:8" x14ac:dyDescent="0.55000000000000004">
      <c r="A22" s="5"/>
      <c r="G22" s="6"/>
    </row>
    <row r="23" spans="1:8" x14ac:dyDescent="0.55000000000000004">
      <c r="C23" s="6"/>
      <c r="D23" s="6"/>
      <c r="E23" s="6"/>
      <c r="F23" s="6"/>
      <c r="G23" s="6"/>
    </row>
    <row r="24" spans="1:8" x14ac:dyDescent="0.55000000000000004">
      <c r="C24" s="6"/>
      <c r="D24" s="6"/>
      <c r="E24" s="6"/>
      <c r="F24" s="6"/>
      <c r="G24" s="6"/>
    </row>
    <row r="25" spans="1:8" x14ac:dyDescent="0.55000000000000004">
      <c r="A25"/>
      <c r="D25" s="6"/>
      <c r="E25" s="6"/>
      <c r="F25" s="6"/>
      <c r="G25" s="6"/>
    </row>
    <row r="26" spans="1:8" x14ac:dyDescent="0.55000000000000004">
      <c r="C26" s="6"/>
      <c r="D26" s="6"/>
      <c r="E26" s="6"/>
      <c r="F26" s="6"/>
      <c r="G26" s="6"/>
    </row>
    <row r="27" spans="1:8" x14ac:dyDescent="0.55000000000000004">
      <c r="C27" s="6"/>
      <c r="D27" s="6"/>
      <c r="E27" s="6"/>
      <c r="F27" s="6"/>
      <c r="G27" s="6"/>
    </row>
  </sheetData>
  <hyperlinks>
    <hyperlink ref="I10" r:id="rId1" xr:uid="{12CE3CB5-766F-4B8A-86D5-6C4CA74938B2}"/>
  </hyperlinks>
  <pageMargins left="0.7" right="0.7" top="0.78740157499999996" bottom="0.78740157499999996" header="0.3" footer="0.3"/>
  <pageSetup paperSize="9" orientation="portrait" horizontalDpi="1200" verticalDpi="1200"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000BB9-5A2A-49A8-B39D-D7AEEBE2AE76}">
  <dimension ref="A1:I48"/>
  <sheetViews>
    <sheetView workbookViewId="0">
      <selection activeCell="E1" sqref="E1"/>
    </sheetView>
  </sheetViews>
  <sheetFormatPr baseColWidth="10" defaultRowHeight="14.4" x14ac:dyDescent="0.55000000000000004"/>
  <cols>
    <col min="1" max="1" width="56.05078125" customWidth="1"/>
    <col min="2" max="2" width="23.68359375" customWidth="1"/>
    <col min="3" max="3" width="18.62890625" customWidth="1"/>
    <col min="4" max="4" width="11" bestFit="1" customWidth="1"/>
    <col min="5" max="5" width="19.41796875" customWidth="1"/>
    <col min="6" max="6" width="21" customWidth="1"/>
    <col min="7" max="7" width="19.62890625" customWidth="1"/>
    <col min="8" max="8" width="13" bestFit="1" customWidth="1"/>
  </cols>
  <sheetData>
    <row r="1" spans="1:9" x14ac:dyDescent="0.55000000000000004">
      <c r="A1" s="1" t="s">
        <v>12</v>
      </c>
    </row>
    <row r="2" spans="1:9" x14ac:dyDescent="0.55000000000000004">
      <c r="A2" s="4" t="s">
        <v>8</v>
      </c>
      <c r="C2" t="s">
        <v>7</v>
      </c>
      <c r="D2" t="s">
        <v>2</v>
      </c>
      <c r="E2" t="s">
        <v>6</v>
      </c>
      <c r="F2" t="s">
        <v>5</v>
      </c>
      <c r="G2" t="s">
        <v>22</v>
      </c>
    </row>
    <row r="3" spans="1:9" x14ac:dyDescent="0.55000000000000004">
      <c r="A3" s="2">
        <v>41708</v>
      </c>
      <c r="B3" t="s">
        <v>13</v>
      </c>
      <c r="C3" s="6">
        <v>25106160</v>
      </c>
      <c r="D3" s="6"/>
      <c r="E3" s="6"/>
      <c r="F3" s="6">
        <v>850000000</v>
      </c>
      <c r="G3" s="6"/>
      <c r="I3" s="6"/>
    </row>
    <row r="4" spans="1:9" x14ac:dyDescent="0.55000000000000004">
      <c r="A4" s="2">
        <v>41892</v>
      </c>
      <c r="B4" t="s">
        <v>13</v>
      </c>
      <c r="C4" s="6">
        <v>26796250</v>
      </c>
      <c r="D4" s="6">
        <f>(C3+C4)/850000000*100</f>
        <v>6.1061658823529408</v>
      </c>
      <c r="E4" s="6"/>
      <c r="F4" s="6">
        <f>F3</f>
        <v>850000000</v>
      </c>
      <c r="G4" s="6"/>
      <c r="I4" s="6"/>
    </row>
    <row r="5" spans="1:9" x14ac:dyDescent="0.55000000000000004">
      <c r="A5" s="2">
        <v>42080</v>
      </c>
      <c r="B5" t="s">
        <v>13</v>
      </c>
      <c r="C5" s="6">
        <v>26796250</v>
      </c>
      <c r="D5" s="6"/>
      <c r="E5" s="6"/>
      <c r="F5" s="6">
        <f>F3</f>
        <v>850000000</v>
      </c>
      <c r="G5" s="6"/>
      <c r="I5" s="6"/>
    </row>
    <row r="6" spans="1:9" x14ac:dyDescent="0.55000000000000004">
      <c r="A6" s="2">
        <v>42258</v>
      </c>
      <c r="B6" t="s">
        <v>13</v>
      </c>
      <c r="C6" s="6">
        <v>26796250</v>
      </c>
      <c r="D6" s="6">
        <f>(C6+C5)/F6*100</f>
        <v>6.3049999999999997</v>
      </c>
      <c r="E6" s="6"/>
      <c r="F6" s="6">
        <f>F5</f>
        <v>850000000</v>
      </c>
      <c r="G6" s="6"/>
      <c r="I6" s="6"/>
    </row>
    <row r="7" spans="1:9" x14ac:dyDescent="0.55000000000000004">
      <c r="A7" s="2">
        <v>42258</v>
      </c>
      <c r="B7" t="s">
        <v>14</v>
      </c>
      <c r="C7" s="6"/>
      <c r="D7" s="6"/>
      <c r="E7" s="6">
        <v>76500000</v>
      </c>
      <c r="F7" s="6">
        <f>850000000-E7</f>
        <v>773500000</v>
      </c>
      <c r="I7" s="6"/>
    </row>
    <row r="8" spans="1:9" x14ac:dyDescent="0.55000000000000004">
      <c r="A8" s="2">
        <v>42440</v>
      </c>
      <c r="B8" t="s">
        <v>13</v>
      </c>
      <c r="C8" s="6">
        <v>24384587</v>
      </c>
      <c r="D8" s="6">
        <f>C8/F8*100*2</f>
        <v>6.3049998707175172</v>
      </c>
      <c r="E8" s="6"/>
      <c r="F8" s="6">
        <f>F7</f>
        <v>773500000</v>
      </c>
      <c r="G8" s="6"/>
      <c r="I8" s="6"/>
    </row>
    <row r="9" spans="1:9" x14ac:dyDescent="0.55000000000000004">
      <c r="A9" s="2">
        <v>42440</v>
      </c>
      <c r="B9" t="s">
        <v>14</v>
      </c>
      <c r="D9" s="6"/>
      <c r="E9" s="6">
        <v>76500000</v>
      </c>
      <c r="F9" s="6">
        <f>F8-E9</f>
        <v>697000000</v>
      </c>
      <c r="G9" s="6"/>
      <c r="I9" s="6"/>
    </row>
    <row r="10" spans="1:9" x14ac:dyDescent="0.55000000000000004">
      <c r="C10" s="6"/>
      <c r="D10" s="6"/>
      <c r="E10" s="6"/>
      <c r="F10" s="6"/>
      <c r="G10" s="6"/>
      <c r="H10" s="6"/>
      <c r="I10" s="6"/>
    </row>
    <row r="11" spans="1:9" x14ac:dyDescent="0.55000000000000004">
      <c r="A11" s="1" t="s">
        <v>44</v>
      </c>
      <c r="B11" t="s">
        <v>46</v>
      </c>
      <c r="C11" s="6">
        <v>31000000</v>
      </c>
      <c r="D11" s="6"/>
      <c r="E11" s="6"/>
      <c r="F11" s="6">
        <v>727000000</v>
      </c>
      <c r="G11" s="6"/>
      <c r="H11" s="6"/>
      <c r="I11" s="6"/>
    </row>
    <row r="12" spans="1:9" x14ac:dyDescent="0.55000000000000004">
      <c r="A12" s="2" t="s">
        <v>15</v>
      </c>
      <c r="B12" t="s">
        <v>13</v>
      </c>
      <c r="C12" s="6">
        <f>F11/100*10.5</f>
        <v>76335000</v>
      </c>
      <c r="D12" s="6">
        <v>10.5</v>
      </c>
      <c r="E12" s="6"/>
      <c r="F12" s="6"/>
      <c r="G12" s="6"/>
      <c r="H12" s="6"/>
      <c r="I12" s="6"/>
    </row>
    <row r="13" spans="1:9" x14ac:dyDescent="0.55000000000000004">
      <c r="A13" t="s">
        <v>16</v>
      </c>
      <c r="B13" t="s">
        <v>13</v>
      </c>
      <c r="C13" s="6">
        <f>C12</f>
        <v>76335000</v>
      </c>
      <c r="D13" s="6">
        <v>10.5</v>
      </c>
      <c r="F13" s="6"/>
      <c r="G13" s="6"/>
      <c r="H13" s="6"/>
      <c r="I13" s="6"/>
    </row>
    <row r="14" spans="1:9" x14ac:dyDescent="0.55000000000000004">
      <c r="A14" t="s">
        <v>17</v>
      </c>
      <c r="B14" t="s">
        <v>13</v>
      </c>
      <c r="C14" s="6">
        <f>C13</f>
        <v>76335000</v>
      </c>
      <c r="D14" s="6">
        <v>10.5</v>
      </c>
      <c r="F14" s="6"/>
      <c r="G14" s="6"/>
      <c r="H14" s="6"/>
      <c r="I14" s="6"/>
    </row>
    <row r="15" spans="1:9" x14ac:dyDescent="0.55000000000000004">
      <c r="A15" t="s">
        <v>18</v>
      </c>
      <c r="B15" t="s">
        <v>13</v>
      </c>
      <c r="C15" s="6">
        <f t="shared" ref="C15" si="0">C14</f>
        <v>76335000</v>
      </c>
      <c r="D15" s="6">
        <v>10.5</v>
      </c>
      <c r="I15" s="6"/>
    </row>
    <row r="16" spans="1:9" x14ac:dyDescent="0.55000000000000004">
      <c r="A16" t="s">
        <v>19</v>
      </c>
      <c r="B16" t="s">
        <v>13</v>
      </c>
      <c r="C16" s="6">
        <f>C14</f>
        <v>76335000</v>
      </c>
      <c r="D16" s="6">
        <v>10.5</v>
      </c>
    </row>
    <row r="17" spans="1:9" x14ac:dyDescent="0.55000000000000004">
      <c r="A17" t="s">
        <v>20</v>
      </c>
      <c r="B17" t="s">
        <v>13</v>
      </c>
      <c r="C17" s="6">
        <f t="shared" ref="C17" si="1">C16</f>
        <v>76335000</v>
      </c>
      <c r="D17" s="6">
        <v>10.5</v>
      </c>
      <c r="F17" s="6"/>
      <c r="G17" s="6"/>
      <c r="H17" s="6"/>
      <c r="I17" s="6"/>
    </row>
    <row r="18" spans="1:9" x14ac:dyDescent="0.55000000000000004">
      <c r="A18" t="s">
        <v>21</v>
      </c>
      <c r="B18" t="s">
        <v>13</v>
      </c>
      <c r="C18" s="6">
        <f>C17</f>
        <v>76335000</v>
      </c>
      <c r="D18" s="6">
        <v>10.5</v>
      </c>
      <c r="F18" s="6"/>
      <c r="G18" s="6"/>
      <c r="H18" s="6"/>
      <c r="I18" s="6"/>
    </row>
    <row r="19" spans="1:9" x14ac:dyDescent="0.55000000000000004">
      <c r="A19" s="14" t="s">
        <v>32</v>
      </c>
      <c r="B19" s="14"/>
      <c r="C19" s="13">
        <f>SUM(C3:C18)</f>
        <v>695224497</v>
      </c>
      <c r="D19" s="14"/>
      <c r="E19" s="8"/>
      <c r="F19" s="13">
        <f>F11+E9+E7</f>
        <v>880000000</v>
      </c>
      <c r="G19" s="13">
        <f>F19+C19</f>
        <v>1575224497</v>
      </c>
      <c r="H19" s="6"/>
      <c r="I19" s="6"/>
    </row>
    <row r="21" spans="1:9" x14ac:dyDescent="0.55000000000000004">
      <c r="F21" s="6"/>
    </row>
    <row r="22" spans="1:9" x14ac:dyDescent="0.55000000000000004">
      <c r="A22" s="15" t="s">
        <v>37</v>
      </c>
      <c r="B22" s="1"/>
      <c r="C22" s="3"/>
      <c r="D22" s="6"/>
      <c r="E22" s="6"/>
    </row>
    <row r="23" spans="1:9" x14ac:dyDescent="0.55000000000000004">
      <c r="A23">
        <v>2020</v>
      </c>
      <c r="B23" s="6" t="s">
        <v>38</v>
      </c>
      <c r="C23" s="6">
        <f t="shared" ref="C23:C32" si="2">F23/100*D23</f>
        <v>45000000</v>
      </c>
      <c r="D23" s="6">
        <v>5</v>
      </c>
      <c r="E23" s="6"/>
      <c r="F23" s="6">
        <v>900000000</v>
      </c>
      <c r="G23" s="6"/>
    </row>
    <row r="24" spans="1:9" x14ac:dyDescent="0.55000000000000004">
      <c r="A24">
        <v>2021</v>
      </c>
      <c r="B24" s="6" t="s">
        <v>38</v>
      </c>
      <c r="C24" s="6">
        <f t="shared" si="2"/>
        <v>45000000</v>
      </c>
      <c r="D24" s="6">
        <v>5</v>
      </c>
      <c r="E24" s="6"/>
      <c r="F24" s="6">
        <f t="shared" ref="F24:F32" si="3">F23</f>
        <v>900000000</v>
      </c>
      <c r="G24" s="6"/>
    </row>
    <row r="25" spans="1:9" x14ac:dyDescent="0.55000000000000004">
      <c r="A25">
        <v>2021</v>
      </c>
      <c r="B25" s="6" t="s">
        <v>38</v>
      </c>
      <c r="C25" s="6">
        <f t="shared" si="2"/>
        <v>45000000</v>
      </c>
      <c r="D25" s="6">
        <v>5</v>
      </c>
      <c r="E25" s="6"/>
      <c r="F25" s="6">
        <f t="shared" si="3"/>
        <v>900000000</v>
      </c>
      <c r="G25" s="6"/>
    </row>
    <row r="26" spans="1:9" x14ac:dyDescent="0.55000000000000004">
      <c r="A26">
        <v>2022</v>
      </c>
      <c r="B26" s="6" t="s">
        <v>38</v>
      </c>
      <c r="C26" s="6">
        <f t="shared" si="2"/>
        <v>45000000</v>
      </c>
      <c r="D26" s="6">
        <v>5</v>
      </c>
      <c r="E26" s="6"/>
      <c r="F26" s="6">
        <f t="shared" si="3"/>
        <v>900000000</v>
      </c>
      <c r="G26" s="6"/>
    </row>
    <row r="27" spans="1:9" x14ac:dyDescent="0.55000000000000004">
      <c r="A27">
        <v>2023</v>
      </c>
      <c r="B27" s="6" t="s">
        <v>38</v>
      </c>
      <c r="C27" s="6">
        <f t="shared" si="2"/>
        <v>45000000</v>
      </c>
      <c r="D27" s="6">
        <v>5</v>
      </c>
      <c r="E27" s="6"/>
      <c r="F27" s="6">
        <f t="shared" si="3"/>
        <v>900000000</v>
      </c>
      <c r="G27" s="6"/>
    </row>
    <row r="28" spans="1:9" x14ac:dyDescent="0.55000000000000004">
      <c r="A28">
        <v>2024</v>
      </c>
      <c r="B28" s="6" t="s">
        <v>38</v>
      </c>
      <c r="C28" s="6">
        <f t="shared" si="2"/>
        <v>81000000</v>
      </c>
      <c r="D28" s="6">
        <v>9</v>
      </c>
      <c r="E28" s="6"/>
      <c r="F28" s="6">
        <f t="shared" si="3"/>
        <v>900000000</v>
      </c>
      <c r="G28" s="6"/>
    </row>
    <row r="29" spans="1:9" x14ac:dyDescent="0.55000000000000004">
      <c r="A29">
        <v>2025</v>
      </c>
      <c r="B29" s="6" t="s">
        <v>38</v>
      </c>
      <c r="C29" s="6">
        <f t="shared" si="2"/>
        <v>81000000</v>
      </c>
      <c r="D29" s="6">
        <v>9</v>
      </c>
      <c r="E29" s="6"/>
      <c r="F29" s="6">
        <f t="shared" si="3"/>
        <v>900000000</v>
      </c>
      <c r="G29" s="6"/>
    </row>
    <row r="30" spans="1:9" x14ac:dyDescent="0.55000000000000004">
      <c r="A30">
        <v>2026</v>
      </c>
      <c r="B30" s="6" t="s">
        <v>38</v>
      </c>
      <c r="C30" s="6">
        <f t="shared" si="2"/>
        <v>81000000</v>
      </c>
      <c r="D30" s="6">
        <v>9</v>
      </c>
      <c r="E30" s="6"/>
      <c r="F30" s="6">
        <f t="shared" si="3"/>
        <v>900000000</v>
      </c>
      <c r="G30" s="6"/>
    </row>
    <row r="31" spans="1:9" x14ac:dyDescent="0.55000000000000004">
      <c r="A31">
        <v>2027</v>
      </c>
      <c r="B31" s="6" t="s">
        <v>38</v>
      </c>
      <c r="C31" s="6">
        <f t="shared" si="2"/>
        <v>81000000</v>
      </c>
      <c r="D31" s="6">
        <v>9</v>
      </c>
      <c r="E31" s="6"/>
      <c r="F31" s="6">
        <f t="shared" si="3"/>
        <v>900000000</v>
      </c>
      <c r="G31" s="6"/>
    </row>
    <row r="32" spans="1:9" x14ac:dyDescent="0.55000000000000004">
      <c r="A32" s="16">
        <v>46813</v>
      </c>
      <c r="B32" s="6" t="s">
        <v>38</v>
      </c>
      <c r="C32" s="6">
        <f t="shared" si="2"/>
        <v>81000000</v>
      </c>
      <c r="D32" s="6">
        <v>9</v>
      </c>
      <c r="E32" s="6"/>
      <c r="F32" s="6">
        <f t="shared" si="3"/>
        <v>900000000</v>
      </c>
      <c r="G32" s="6"/>
    </row>
    <row r="33" spans="1:7" x14ac:dyDescent="0.55000000000000004">
      <c r="A33" s="16">
        <v>46813</v>
      </c>
      <c r="B33" t="s">
        <v>14</v>
      </c>
      <c r="C33" s="6"/>
      <c r="D33" s="6"/>
      <c r="E33">
        <v>112500000</v>
      </c>
      <c r="F33" s="6">
        <f>F32-E33</f>
        <v>787500000</v>
      </c>
      <c r="G33" s="6"/>
    </row>
    <row r="34" spans="1:7" x14ac:dyDescent="0.55000000000000004">
      <c r="A34" s="16">
        <v>46997</v>
      </c>
      <c r="B34" s="6" t="s">
        <v>38</v>
      </c>
      <c r="C34" s="6">
        <f>F33/100*D34</f>
        <v>70875000</v>
      </c>
      <c r="D34" s="6">
        <v>9</v>
      </c>
      <c r="E34" s="6"/>
      <c r="F34" s="6"/>
      <c r="G34" s="6"/>
    </row>
    <row r="35" spans="1:7" x14ac:dyDescent="0.55000000000000004">
      <c r="A35" s="16">
        <v>46997</v>
      </c>
      <c r="B35" t="s">
        <v>14</v>
      </c>
      <c r="C35" s="6"/>
      <c r="D35" s="6"/>
      <c r="E35">
        <v>112500000</v>
      </c>
      <c r="F35" s="6">
        <f>F33-E35</f>
        <v>675000000</v>
      </c>
      <c r="G35" s="6"/>
    </row>
    <row r="36" spans="1:7" x14ac:dyDescent="0.55000000000000004">
      <c r="A36" s="16">
        <v>47178</v>
      </c>
      <c r="B36" s="6" t="s">
        <v>38</v>
      </c>
      <c r="C36" s="6">
        <f>F35/100*9</f>
        <v>60750000</v>
      </c>
      <c r="D36" s="6">
        <v>9</v>
      </c>
      <c r="E36" s="6"/>
      <c r="F36" s="6"/>
      <c r="G36" s="6"/>
    </row>
    <row r="37" spans="1:7" x14ac:dyDescent="0.55000000000000004">
      <c r="A37" s="16">
        <v>47178</v>
      </c>
      <c r="B37" t="s">
        <v>14</v>
      </c>
      <c r="C37" s="6"/>
      <c r="D37" s="6"/>
      <c r="E37">
        <v>112500000</v>
      </c>
      <c r="F37" s="6">
        <f>F35-E37</f>
        <v>562500000</v>
      </c>
      <c r="G37" s="6"/>
    </row>
    <row r="38" spans="1:7" x14ac:dyDescent="0.55000000000000004">
      <c r="A38" s="16">
        <v>47362</v>
      </c>
      <c r="B38" s="6" t="s">
        <v>38</v>
      </c>
      <c r="C38" s="6">
        <f>F37/100*9</f>
        <v>50625000</v>
      </c>
      <c r="D38" s="6">
        <v>9</v>
      </c>
      <c r="E38" s="6"/>
      <c r="F38" s="6"/>
      <c r="G38" s="6"/>
    </row>
    <row r="39" spans="1:7" x14ac:dyDescent="0.55000000000000004">
      <c r="A39" s="16">
        <v>47362</v>
      </c>
      <c r="B39" t="s">
        <v>14</v>
      </c>
      <c r="C39" s="6"/>
      <c r="D39" s="6"/>
      <c r="E39">
        <v>112500000</v>
      </c>
      <c r="F39" s="6">
        <f>F37-E39</f>
        <v>450000000</v>
      </c>
      <c r="G39" s="6"/>
    </row>
    <row r="40" spans="1:7" x14ac:dyDescent="0.55000000000000004">
      <c r="A40" s="16">
        <v>11018</v>
      </c>
      <c r="B40" s="6" t="s">
        <v>38</v>
      </c>
      <c r="C40">
        <f>F39/100*9</f>
        <v>40500000</v>
      </c>
      <c r="D40" s="6">
        <v>9</v>
      </c>
    </row>
    <row r="41" spans="1:7" x14ac:dyDescent="0.55000000000000004">
      <c r="A41" s="16">
        <v>11018</v>
      </c>
      <c r="B41" t="s">
        <v>14</v>
      </c>
      <c r="E41">
        <v>112500000</v>
      </c>
      <c r="F41" s="6">
        <f>F39-E41</f>
        <v>337500000</v>
      </c>
    </row>
    <row r="42" spans="1:7" x14ac:dyDescent="0.55000000000000004">
      <c r="A42" s="16">
        <v>11202</v>
      </c>
      <c r="B42" s="6" t="s">
        <v>38</v>
      </c>
      <c r="C42">
        <f>F41/100*9</f>
        <v>30375000</v>
      </c>
      <c r="D42" s="6">
        <v>9</v>
      </c>
    </row>
    <row r="43" spans="1:7" x14ac:dyDescent="0.55000000000000004">
      <c r="A43" s="16">
        <v>11202</v>
      </c>
      <c r="B43" t="s">
        <v>14</v>
      </c>
      <c r="E43">
        <v>112500000</v>
      </c>
      <c r="F43" s="6">
        <f>F41-E43</f>
        <v>225000000</v>
      </c>
    </row>
    <row r="44" spans="1:7" x14ac:dyDescent="0.55000000000000004">
      <c r="A44" s="16">
        <v>11383</v>
      </c>
      <c r="B44" s="6" t="s">
        <v>38</v>
      </c>
      <c r="C44">
        <f>F43/100*9</f>
        <v>20250000</v>
      </c>
      <c r="D44" s="6">
        <v>9</v>
      </c>
    </row>
    <row r="45" spans="1:7" x14ac:dyDescent="0.55000000000000004">
      <c r="A45" s="16">
        <v>11383</v>
      </c>
      <c r="B45" t="s">
        <v>14</v>
      </c>
      <c r="E45">
        <v>112500000</v>
      </c>
      <c r="F45" s="6">
        <f>F43-E45</f>
        <v>112500000</v>
      </c>
    </row>
    <row r="46" spans="1:7" x14ac:dyDescent="0.55000000000000004">
      <c r="A46" s="16">
        <v>11567</v>
      </c>
      <c r="B46" s="6" t="s">
        <v>38</v>
      </c>
      <c r="C46">
        <f>F45/100*9</f>
        <v>10125000</v>
      </c>
      <c r="D46" s="6">
        <v>9</v>
      </c>
    </row>
    <row r="47" spans="1:7" x14ac:dyDescent="0.55000000000000004">
      <c r="A47" s="16">
        <v>11933</v>
      </c>
      <c r="B47" t="s">
        <v>14</v>
      </c>
      <c r="E47">
        <v>112500000</v>
      </c>
      <c r="F47" s="6">
        <f>F45-E47</f>
        <v>0</v>
      </c>
    </row>
    <row r="48" spans="1:7" x14ac:dyDescent="0.55000000000000004">
      <c r="A48" s="8" t="s">
        <v>39</v>
      </c>
      <c r="B48" s="8"/>
      <c r="C48" s="17">
        <f>SUM(C23:C47)</f>
        <v>913500000</v>
      </c>
      <c r="D48" s="8"/>
      <c r="E48" s="8"/>
      <c r="F48" s="8">
        <v>900000000</v>
      </c>
      <c r="G48" s="17">
        <f>C48+F48</f>
        <v>1813500000</v>
      </c>
    </row>
  </sheetData>
  <pageMargins left="0.7" right="0.7" top="0.78740157499999996" bottom="0.78740157499999996" header="0.3" footer="0.3"/>
  <pageSetup paperSize="9" orientation="portrait" horizontalDpi="1200" verticalDpi="1200" r:id="rId1"/>
  <ignoredErrors>
    <ignoredError sqref="C16" formula="1"/>
  </ignoredError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AFA6EB-80A5-4928-8AAD-A21F3858B04E}">
  <dimension ref="A1:H25"/>
  <sheetViews>
    <sheetView workbookViewId="0">
      <selection activeCell="A18" sqref="A18"/>
    </sheetView>
  </sheetViews>
  <sheetFormatPr baseColWidth="10" defaultRowHeight="14.4" x14ac:dyDescent="0.55000000000000004"/>
  <cols>
    <col min="1" max="1" width="34.68359375" customWidth="1"/>
    <col min="2" max="2" width="17.15625" customWidth="1"/>
    <col min="3" max="3" width="18.15625" customWidth="1"/>
    <col min="4" max="4" width="16" customWidth="1"/>
    <col min="5" max="5" width="14.62890625" customWidth="1"/>
    <col min="6" max="6" width="16.1015625" customWidth="1"/>
    <col min="7" max="7" width="21.578125" customWidth="1"/>
  </cols>
  <sheetData>
    <row r="1" spans="1:8" x14ac:dyDescent="0.55000000000000004">
      <c r="A1" s="2" t="s">
        <v>0</v>
      </c>
    </row>
    <row r="2" spans="1:8" x14ac:dyDescent="0.55000000000000004">
      <c r="A2" s="5" t="s">
        <v>45</v>
      </c>
    </row>
    <row r="3" spans="1:8" x14ac:dyDescent="0.55000000000000004">
      <c r="A3" s="4" t="s">
        <v>8</v>
      </c>
      <c r="C3" t="s">
        <v>7</v>
      </c>
      <c r="D3" t="s">
        <v>2</v>
      </c>
      <c r="E3" t="s">
        <v>6</v>
      </c>
      <c r="F3" t="s">
        <v>5</v>
      </c>
      <c r="G3" t="s">
        <v>22</v>
      </c>
    </row>
    <row r="4" spans="1:8" x14ac:dyDescent="0.55000000000000004">
      <c r="A4" s="2">
        <v>42151</v>
      </c>
      <c r="B4" t="s">
        <v>27</v>
      </c>
      <c r="C4" s="6">
        <v>40800000</v>
      </c>
      <c r="D4" s="6">
        <f>C4/535000000*100</f>
        <v>7.6261682242990654</v>
      </c>
      <c r="E4" s="6"/>
      <c r="F4" s="6">
        <f>535000000</f>
        <v>535000000</v>
      </c>
      <c r="G4" s="6"/>
      <c r="H4" s="6"/>
    </row>
    <row r="5" spans="1:8" x14ac:dyDescent="0.55000000000000004">
      <c r="A5" s="2"/>
      <c r="C5" s="6"/>
      <c r="D5" s="6"/>
      <c r="E5" s="6"/>
      <c r="F5" s="6"/>
      <c r="G5" s="6"/>
      <c r="H5" s="6"/>
    </row>
    <row r="6" spans="1:8" x14ac:dyDescent="0.55000000000000004">
      <c r="A6" s="2"/>
      <c r="C6" s="6"/>
      <c r="D6" s="6"/>
      <c r="E6" s="6"/>
      <c r="F6" s="6"/>
      <c r="G6" s="6"/>
      <c r="H6" s="6"/>
    </row>
    <row r="7" spans="1:8" x14ac:dyDescent="0.55000000000000004">
      <c r="A7" t="s">
        <v>28</v>
      </c>
      <c r="C7" s="6"/>
      <c r="D7" s="6"/>
      <c r="E7" s="6"/>
      <c r="F7" s="6"/>
      <c r="G7" s="6"/>
      <c r="H7" s="6"/>
    </row>
    <row r="8" spans="1:8" x14ac:dyDescent="0.55000000000000004">
      <c r="A8" s="2">
        <v>42513</v>
      </c>
      <c r="B8" t="s">
        <v>27</v>
      </c>
      <c r="C8" s="6">
        <v>40800000</v>
      </c>
      <c r="D8" s="6">
        <f>C8/535000000*100</f>
        <v>7.6261682242990654</v>
      </c>
      <c r="E8" s="6"/>
      <c r="F8" s="6">
        <f>535000000</f>
        <v>535000000</v>
      </c>
      <c r="G8" s="6"/>
      <c r="H8" s="6"/>
    </row>
    <row r="9" spans="1:8" x14ac:dyDescent="0.55000000000000004">
      <c r="A9" s="2">
        <v>42513</v>
      </c>
      <c r="B9" t="s">
        <v>24</v>
      </c>
      <c r="D9" s="6"/>
      <c r="E9" s="6">
        <v>0</v>
      </c>
      <c r="F9" s="6">
        <f>F8-E9</f>
        <v>535000000</v>
      </c>
      <c r="G9" s="6"/>
      <c r="H9" s="6"/>
    </row>
    <row r="10" spans="1:8" x14ac:dyDescent="0.55000000000000004">
      <c r="A10" s="2">
        <v>42878</v>
      </c>
      <c r="B10" t="s">
        <v>27</v>
      </c>
      <c r="C10" s="6">
        <v>40800000</v>
      </c>
      <c r="D10" s="6">
        <f>C10/535000000*100</f>
        <v>7.6261682242990654</v>
      </c>
      <c r="E10" s="6"/>
      <c r="F10" s="6">
        <f>F9</f>
        <v>535000000</v>
      </c>
      <c r="G10" s="6"/>
      <c r="H10" s="6"/>
    </row>
    <row r="11" spans="1:8" x14ac:dyDescent="0.55000000000000004">
      <c r="A11" s="2">
        <v>42878</v>
      </c>
      <c r="B11" t="s">
        <v>24</v>
      </c>
      <c r="D11" s="6"/>
      <c r="E11" s="6">
        <v>0</v>
      </c>
      <c r="F11" s="6">
        <f>F10-E11</f>
        <v>535000000</v>
      </c>
      <c r="G11" s="6"/>
      <c r="H11" s="6"/>
    </row>
    <row r="12" spans="1:8" x14ac:dyDescent="0.55000000000000004">
      <c r="A12" s="2">
        <v>43243</v>
      </c>
      <c r="B12" t="s">
        <v>27</v>
      </c>
      <c r="C12" s="6">
        <v>40800000</v>
      </c>
      <c r="D12" s="6">
        <f>C12/535000000*100</f>
        <v>7.6261682242990654</v>
      </c>
      <c r="E12" s="6"/>
      <c r="F12" s="6">
        <f>F11</f>
        <v>535000000</v>
      </c>
      <c r="G12" s="6"/>
      <c r="H12" s="6"/>
    </row>
    <row r="13" spans="1:8" x14ac:dyDescent="0.55000000000000004">
      <c r="A13" s="2">
        <v>43243</v>
      </c>
      <c r="B13" t="s">
        <v>24</v>
      </c>
      <c r="D13" s="6"/>
      <c r="E13" s="6">
        <v>0</v>
      </c>
      <c r="F13" s="6">
        <f>F12-E13</f>
        <v>535000000</v>
      </c>
      <c r="G13" s="6"/>
      <c r="H13" s="6"/>
    </row>
    <row r="14" spans="1:8" x14ac:dyDescent="0.55000000000000004">
      <c r="A14" s="2">
        <v>43608</v>
      </c>
      <c r="B14" t="s">
        <v>27</v>
      </c>
      <c r="C14" s="6">
        <v>40800000</v>
      </c>
      <c r="D14" s="6">
        <f>C14/535000000*100</f>
        <v>7.6261682242990654</v>
      </c>
      <c r="E14" s="6"/>
      <c r="F14" s="6">
        <f>F13</f>
        <v>535000000</v>
      </c>
      <c r="G14" s="6"/>
      <c r="H14" s="6"/>
    </row>
    <row r="15" spans="1:8" x14ac:dyDescent="0.55000000000000004">
      <c r="A15" s="2">
        <v>43608</v>
      </c>
      <c r="B15" t="s">
        <v>24</v>
      </c>
      <c r="D15" s="6"/>
      <c r="E15" s="6">
        <v>0</v>
      </c>
      <c r="F15" s="6"/>
      <c r="G15" s="6"/>
      <c r="H15" s="6"/>
    </row>
    <row r="17" spans="1:7" x14ac:dyDescent="0.55000000000000004">
      <c r="A17" s="14" t="s">
        <v>31</v>
      </c>
      <c r="B17" s="14"/>
      <c r="C17" s="13">
        <f>SUM(C8:C16)</f>
        <v>163200000</v>
      </c>
      <c r="D17" s="14"/>
      <c r="E17" s="14"/>
      <c r="F17" s="13">
        <f>F14</f>
        <v>535000000</v>
      </c>
      <c r="G17" s="13">
        <f>F17+C17</f>
        <v>698200000</v>
      </c>
    </row>
    <row r="18" spans="1:7" x14ac:dyDescent="0.55000000000000004">
      <c r="A18" s="12" t="s">
        <v>30</v>
      </c>
    </row>
    <row r="19" spans="1:7" x14ac:dyDescent="0.55000000000000004">
      <c r="A19" s="2"/>
      <c r="D19" s="6"/>
      <c r="E19" s="6"/>
      <c r="F19" s="6"/>
    </row>
    <row r="25" spans="1:7" x14ac:dyDescent="0.55000000000000004">
      <c r="A25" s="6" t="s">
        <v>10</v>
      </c>
    </row>
  </sheetData>
  <pageMargins left="0.7" right="0.7" top="0.78740157499999996" bottom="0.78740157499999996" header="0.3" footer="0.3"/>
  <legacy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Übersicht</vt:lpstr>
      <vt:lpstr>Proindicus</vt:lpstr>
      <vt:lpstr>Ematum</vt:lpstr>
      <vt:lpstr>MAM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Christian Zeier</dc:creator>
  <cp:lastModifiedBy>Christian Zeier</cp:lastModifiedBy>
  <dcterms:created xsi:type="dcterms:W3CDTF">2019-08-07T09:37:14Z</dcterms:created>
  <dcterms:modified xsi:type="dcterms:W3CDTF">2019-08-07T14:31:12Z</dcterms:modified>
</cp:coreProperties>
</file>