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chzei\OneDrive\2_Geschichten\1_Mozambik Credit Suisse\Verkauf_Finanzierung Geschichte\MOZ_Faktencheck\"/>
    </mc:Choice>
  </mc:AlternateContent>
  <xr:revisionPtr revIDLastSave="715" documentId="8_{44F07FA1-CFB2-4F7C-9663-8760F78D4EA8}" xr6:coauthVersionLast="43" xr6:coauthVersionMax="43" xr10:uidLastSave="{82E3D602-CAD2-4F6A-95B5-5D0011186B77}"/>
  <bookViews>
    <workbookView xWindow="-96" yWindow="-96" windowWidth="19392" windowHeight="10992" xr2:uid="{FF423CF4-BCDF-4CB0-8BEE-65EF0E760EF7}"/>
  </bookViews>
  <sheets>
    <sheet name="Übersicht" sheetId="5" r:id="rId1"/>
    <sheet name="Proindicus" sheetId="1" r:id="rId2"/>
    <sheet name="Ematum" sheetId="2" r:id="rId3"/>
    <sheet name="MAM"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 i="3" l="1"/>
  <c r="D12" i="3"/>
  <c r="D10" i="3"/>
  <c r="D8" i="3"/>
  <c r="C12" i="2"/>
  <c r="C3" i="5" l="1"/>
  <c r="G48" i="2"/>
  <c r="C48" i="2"/>
  <c r="C46" i="2"/>
  <c r="C44" i="2"/>
  <c r="C42" i="2"/>
  <c r="C40" i="2"/>
  <c r="C38" i="2"/>
  <c r="C36" i="2"/>
  <c r="C32" i="2"/>
  <c r="C31" i="2"/>
  <c r="C30" i="2"/>
  <c r="C29" i="2"/>
  <c r="C28" i="2"/>
  <c r="C27" i="2"/>
  <c r="C26" i="2"/>
  <c r="C25" i="2"/>
  <c r="C24" i="2"/>
  <c r="C34" i="2"/>
  <c r="F47" i="2"/>
  <c r="F45" i="2"/>
  <c r="F43" i="2"/>
  <c r="F41" i="2"/>
  <c r="F39" i="2"/>
  <c r="F37" i="2"/>
  <c r="F35" i="2"/>
  <c r="F33" i="2"/>
  <c r="F32" i="2"/>
  <c r="F24" i="2"/>
  <c r="F25" i="2" s="1"/>
  <c r="F26" i="2" s="1"/>
  <c r="F27" i="2" s="1"/>
  <c r="F28" i="2" s="1"/>
  <c r="F29" i="2" s="1"/>
  <c r="F30" i="2" s="1"/>
  <c r="F31" i="2" s="1"/>
  <c r="C23" i="2"/>
  <c r="D4" i="5" l="1"/>
  <c r="C4" i="5"/>
  <c r="G20" i="1"/>
  <c r="C17" i="3"/>
  <c r="G17" i="3" s="1"/>
  <c r="F17" i="3"/>
  <c r="F9" i="3"/>
  <c r="F10" i="3" s="1"/>
  <c r="F4" i="3"/>
  <c r="F8" i="3"/>
  <c r="D4" i="3"/>
  <c r="F19" i="2"/>
  <c r="F11" i="3" l="1"/>
  <c r="F12" i="3" s="1"/>
  <c r="E6" i="1"/>
  <c r="E5" i="1"/>
  <c r="E4" i="1"/>
  <c r="F4" i="2"/>
  <c r="F5" i="2"/>
  <c r="F6" i="2" s="1"/>
  <c r="D6" i="2" s="1"/>
  <c r="F7" i="2"/>
  <c r="F8" i="2" s="1"/>
  <c r="F9" i="2" s="1"/>
  <c r="D4" i="2"/>
  <c r="C13" i="2" l="1"/>
  <c r="C14" i="2" s="1"/>
  <c r="F13" i="3"/>
  <c r="F14" i="3" s="1"/>
  <c r="D8" i="2"/>
  <c r="C15" i="2" l="1"/>
  <c r="C16" i="2"/>
  <c r="C17" i="2" s="1"/>
  <c r="C18" i="2" s="1"/>
  <c r="G11" i="1"/>
  <c r="C19" i="2" l="1"/>
  <c r="D3" i="5" s="1"/>
  <c r="G13" i="1"/>
  <c r="C14" i="1" s="1"/>
  <c r="C12" i="1"/>
  <c r="G12" i="1"/>
  <c r="G7" i="1"/>
  <c r="C10" i="1" s="1"/>
  <c r="G19" i="2" l="1"/>
  <c r="G14" i="1"/>
  <c r="G15" i="1" s="1"/>
  <c r="G16" i="1" s="1"/>
  <c r="G17" i="1" s="1"/>
  <c r="G18" i="1" s="1"/>
  <c r="G19" i="1" s="1"/>
  <c r="G10" i="1"/>
  <c r="C16" i="1" l="1"/>
  <c r="C18" i="1"/>
  <c r="C20" i="1" l="1"/>
  <c r="H20" i="1" s="1"/>
  <c r="C2" i="5"/>
  <c r="D2" i="5" s="1"/>
  <c r="D5"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tc={F8FCE3ED-58C2-475B-8D8C-4D5591CCA39D}</author>
    <author>tc={BEFC124D-82DC-4971-A4E9-5273E457ED2C}</author>
  </authors>
  <commentList>
    <comment ref="C3" authorId="0" shapeId="0" xr:uid="{F8FCE3ED-58C2-475B-8D8C-4D5591CCA39D}">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Kroll-Report S.73</t>
      </text>
    </comment>
    <comment ref="D10" authorId="1" shapeId="0" xr:uid="{BEFC124D-82DC-4971-A4E9-5273E457ED2C}">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Bezüglich Zinssatz gibt es wiedersprüchliche Angaben. Verschiedene Quellen gehen davon aus, dass der Zinssatz ab 2015 3.75 plus LIBOR betrug. Um möglichst konservativ zu rechnen und den steigenden LIBOR nicht berücksichtigen zu müssen, wird ab 2017 konstant mit einem Zinssatz von 3.75 gerechnet.
https://www.africaresearchinstitute.org/newsite/publications/mozambiques-debt-crisis-trawling-answers/.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tc={B48533FE-3EF1-4D72-8763-0F2B0068AD3D}</author>
    <author>tc={19CC3D67-C8F5-47DC-AB23-0D1E3B2CEC25}</author>
    <author>tc={9A8FF879-4F9C-408B-ABAD-079BB0667341}</author>
    <author>tc={0AC69C8E-A09F-40D6-9526-509FFE1FBF80}</author>
    <author>tc={A04DFA80-B7D5-4E98-BC61-D4C282EADF99}</author>
    <author>tc={4515AA1B-86B8-46F2-AB8A-6994014B6C76}</author>
    <author>tc={036FF3B4-16D4-4DA3-B4C3-66758924006F}</author>
    <author>tc={97EA83E0-A827-4F6A-B184-28D8B1B4ED07}</author>
    <author>tc={25AEC6A0-33E7-4537-85FD-90B2C2FD7CF4}</author>
  </authors>
  <commentList>
    <comment ref="C2" authorId="0" shapeId="0" xr:uid="{B48533FE-3EF1-4D72-8763-0F2B0068AD3D}">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siehe Kroll-Report S.113</t>
      </text>
    </comment>
    <comment ref="E7" authorId="1" shapeId="0" xr:uid="{19CC3D67-C8F5-47DC-AB23-0D1E3B2CEC25}">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principal repayment laut Kroll-Report 5.3.2, S. 106</t>
      </text>
    </comment>
    <comment ref="A11" authorId="2" shapeId="0" xr:uid="{9A8FF879-4F9C-408B-ABAD-079BB0667341}">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https://www.bloomberg.com/news/articles/2016-04-01/mozambique-to-issue-sovereign-bond-as-tuna-investors-accept-swap</t>
      </text>
    </comment>
    <comment ref="F11" authorId="3" shapeId="0" xr:uid="{0AC69C8E-A09F-40D6-9526-509FFE1FBF80}">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https://www.bloomberg.com/news/articles/2016-04-01/mozambique-to-issue-sovereign-bond-as-tuna-investors-accept-swap</t>
      </text>
    </comment>
    <comment ref="D12" authorId="4" shapeId="0" xr:uid="{A04DFA80-B7D5-4E98-BC61-D4C282EADF99}">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https://www.bloomberg.com/news/articles/2016-04-01/mozambique-to-issue-sovereign-bond-as-tuna-investors-accept-swap</t>
      </text>
    </comment>
    <comment ref="A22" authorId="5" shapeId="0" xr:uid="{4515AA1B-86B8-46F2-AB8A-6994014B6C76}">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https://clubofmozambique.com/news/finance-ministry-strikes-another-deal-with-ematum-bondholders-aim-report/</t>
      </text>
    </comment>
    <comment ref="D23" authorId="6" shapeId="0" xr:uid="{036FF3B4-16D4-4DA3-B4C3-66758924006F}">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https://clubofmozambique.com/news/finance-ministry-strikes-another-deal-with-ematum-bondholders-aim-report/</t>
      </text>
    </comment>
    <comment ref="D28" authorId="7" shapeId="0" xr:uid="{97EA83E0-A827-4F6A-B184-28D8B1B4ED07}">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Ab 2024 höhere Zinsen. Siehe: https://clubofmozambique.com/news/finance-ministry-strikes-another-deal-with-ematum-bondholders-aim-report/</t>
      </text>
    </comment>
    <comment ref="E33" authorId="8" shapeId="0" xr:uid="{25AEC6A0-33E7-4537-85FD-90B2C2FD7CF4}">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ab 2028 Rückzahlung, siehe: https://clubofmozambique.com/news/finance-ministry-strikes-another-deal-with-ematum-bondholders-aim-report/</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tc={A03FF920-124E-4079-95D4-45955FCEDA70}</author>
    <author>tc={8026DA5F-83D3-496B-AE4D-D30D61C4AD8D}</author>
    <author>tc={2F029DF4-B1BA-4323-9233-95C6B742805C}</author>
    <author>tc={4E1AE827-D315-4823-9965-1ABE60D0EDE2}</author>
  </authors>
  <commentList>
    <comment ref="C3" authorId="0" shapeId="0" xr:uid="{A03FF920-124E-4079-95D4-45955FCEDA70}">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Kroll S. 149</t>
      </text>
    </comment>
    <comment ref="D3" authorId="1" shapeId="0" xr:uid="{8026DA5F-83D3-496B-AE4D-D30D61C4AD8D}">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Kroll-Report S. 146</t>
      </text>
    </comment>
    <comment ref="D8" authorId="2" shapeId="0" xr:uid="{2F029DF4-B1BA-4323-9233-95C6B742805C}">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2015 betug der effektive Zinssatz 7.63%. Um möglichst konservativ zu rechnen und den steigenden LIBOR nicht berücksichtigen zu müssen, wird ab 2016 konstant mit demselben Zinssatz von 7.63 gerechnet.</t>
      </text>
    </comment>
    <comment ref="F8" authorId="3" shapeId="0" xr:uid="{4E1AE827-D315-4823-9965-1ABE60D0EDE2}">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Keine Rückzahlungen</t>
      </text>
    </comment>
  </commentList>
</comments>
</file>

<file path=xl/sharedStrings.xml><?xml version="1.0" encoding="utf-8"?>
<sst xmlns="http://schemas.openxmlformats.org/spreadsheetml/2006/main" count="115" uniqueCount="48">
  <si>
    <t>Gesamtkosten</t>
  </si>
  <si>
    <t>interest Proindicus to CS</t>
  </si>
  <si>
    <t>Zins</t>
  </si>
  <si>
    <t>Proindicus (2013-2021, 622 M, Libor +3.2% )</t>
  </si>
  <si>
    <t>Rückzahlung</t>
  </si>
  <si>
    <t>Ausstehend</t>
  </si>
  <si>
    <t>Rückzahlungen</t>
  </si>
  <si>
    <t>Zahlungen (Kroll)</t>
  </si>
  <si>
    <t xml:space="preserve">Bisherige Zahlungen </t>
  </si>
  <si>
    <t>Zins (eigene Berechnung)</t>
  </si>
  <si>
    <t>https://clubofmozambique.com/news/maleiane-confirms-agreement-to-restructure-mam-debt-proindicus-sovereign-guarantees-to-be-withdrawn/</t>
  </si>
  <si>
    <t>Betreff</t>
  </si>
  <si>
    <t>Ematum (2013-2020, 850 M, 6%)</t>
  </si>
  <si>
    <t>interest Ematum to CS</t>
  </si>
  <si>
    <t>principal rückzahlung</t>
  </si>
  <si>
    <t>Zahlung 2017</t>
  </si>
  <si>
    <t>Zahlung 2018</t>
  </si>
  <si>
    <t>Zahlung 2019</t>
  </si>
  <si>
    <t>Zahlung 2020</t>
  </si>
  <si>
    <t>Zahlung 2021</t>
  </si>
  <si>
    <t>Zahlung 2022</t>
  </si>
  <si>
    <t>Zahlung 2023</t>
  </si>
  <si>
    <t>TOTAL</t>
  </si>
  <si>
    <t>https://clubofmozambique.com/news/government-releases-details-proindicus-mam-loans-aim-report/</t>
  </si>
  <si>
    <t xml:space="preserve">Rückzahlung </t>
  </si>
  <si>
    <t>Zinszahlungen (eigene Berechnung)</t>
  </si>
  <si>
    <t>Zinszahlungen (Kroll)</t>
  </si>
  <si>
    <t>interest payment</t>
  </si>
  <si>
    <t>Berechnungen</t>
  </si>
  <si>
    <t>Kosten ohne Restukturierung (konservativ)</t>
  </si>
  <si>
    <t>Konditionen Restrukturierung?</t>
  </si>
  <si>
    <t>Kosten ohne Restrukturierung (konservativ)</t>
  </si>
  <si>
    <t>Kosten ohne 2. Restrukturierung (konservativ)</t>
  </si>
  <si>
    <t>Zinsen</t>
  </si>
  <si>
    <t>Total</t>
  </si>
  <si>
    <t>Proindicus (vor Restrukturierung)</t>
  </si>
  <si>
    <t>MAM (vor Restrukturierung)</t>
  </si>
  <si>
    <t>Voraussichtliche 2. Restrukturierung (15.7.19)</t>
  </si>
  <si>
    <t>interest Ematum</t>
  </si>
  <si>
    <t>Total Kosten nach 2. Restrukturierug</t>
  </si>
  <si>
    <t>Ematum (nach 2. Restrukturierung)</t>
  </si>
  <si>
    <t xml:space="preserve"> Kredit</t>
  </si>
  <si>
    <t>Prognostizierte Kosten</t>
  </si>
  <si>
    <t>Ausstehende Zahlungen</t>
  </si>
  <si>
    <t xml:space="preserve">Restrukturierung Ematum April 2016 (2016-2023, 10.5%) </t>
  </si>
  <si>
    <t>MAM (2013-2019, 535 M, LIBOR+7%)</t>
  </si>
  <si>
    <t>Gebühren Restrukturierung</t>
  </si>
  <si>
    <t>Bemerkung: Werden Proindicus und MAM ähnlich
restrukturiert wie Ematum, dürften die Kosten für Moçambique deutlich über 4 Milliarden steigen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</si>
</sst>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u/>
      <sz val="11"/>
      <color theme="10"/>
      <name val="Calibri"/>
      <family val="2"/>
      <scheme val="minor"/>
    </font>
    <font>
      <sz val="9"/>
      <color indexed="81"/>
      <name val="Segoe UI"/>
      <family val="2"/>
    </font>
  </fonts>
  <fills count="5">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rgb="FFFFFF00"/>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20">
    <xf numFmtId="0" fontId="0" fillId="0" borderId="0" xfId="0"/>
    <xf numFmtId="0" fontId="1" fillId="0" borderId="0" xfId="0" applyFont="1"/>
    <xf numFmtId="14" fontId="0" fillId="0" borderId="0" xfId="0" applyNumberFormat="1"/>
    <xf numFmtId="4" fontId="1" fillId="0" borderId="0" xfId="0" applyNumberFormat="1" applyFont="1"/>
    <xf numFmtId="14" fontId="0" fillId="0" borderId="0" xfId="0" applyNumberFormat="1" applyFont="1"/>
    <xf numFmtId="14" fontId="1" fillId="0" borderId="0" xfId="0" applyNumberFormat="1" applyFont="1"/>
    <xf numFmtId="4" fontId="0" fillId="0" borderId="0" xfId="0" applyNumberFormat="1"/>
    <xf numFmtId="4" fontId="1" fillId="2" borderId="0" xfId="0" applyNumberFormat="1" applyFont="1" applyFill="1"/>
    <xf numFmtId="0" fontId="0" fillId="3" borderId="0" xfId="0" applyFill="1"/>
    <xf numFmtId="14" fontId="1" fillId="2" borderId="0" xfId="0" applyNumberFormat="1" applyFont="1" applyFill="1"/>
    <xf numFmtId="0" fontId="1" fillId="2" borderId="0" xfId="0" applyFont="1" applyFill="1"/>
    <xf numFmtId="14" fontId="0" fillId="4" borderId="0" xfId="0" applyNumberFormat="1" applyFill="1"/>
    <xf numFmtId="0" fontId="0" fillId="4" borderId="0" xfId="0" applyFill="1"/>
    <xf numFmtId="4" fontId="1" fillId="3" borderId="0" xfId="0" applyNumberFormat="1" applyFont="1" applyFill="1"/>
    <xf numFmtId="0" fontId="1" fillId="3" borderId="0" xfId="0" applyFont="1" applyFill="1"/>
    <xf numFmtId="0" fontId="1" fillId="4" borderId="0" xfId="0" applyFont="1" applyFill="1"/>
    <xf numFmtId="17" fontId="0" fillId="0" borderId="0" xfId="0" applyNumberFormat="1" applyFont="1"/>
    <xf numFmtId="4" fontId="0" fillId="3" borderId="0" xfId="0" applyNumberFormat="1" applyFill="1"/>
    <xf numFmtId="0" fontId="0" fillId="4" borderId="0" xfId="0" applyFill="1" applyAlignment="1">
      <alignment wrapText="1"/>
    </xf>
    <xf numFmtId="0" fontId="2" fillId="0" borderId="0" xfId="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Christian Zeier" id="{0C08D945-5E47-4208-88EF-BAE2D305C697}" userId="d08035532aa09379" providerId="Windows Live"/>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3" dT="2019-08-07T14:16:59.52" personId="{0C08D945-5E47-4208-88EF-BAE2D305C697}" id="{F8FCE3ED-58C2-475B-8D8C-4D5591CCA39D}">
    <text>Kroll-Report S.73</text>
  </threadedComment>
  <threadedComment ref="D10" dT="2019-08-07T14:17:33.45" personId="{0C08D945-5E47-4208-88EF-BAE2D305C697}" id="{BEFC124D-82DC-4971-A4E9-5273E457ED2C}">
    <text>Bezüglich Zinssatz gibt es wiedersprüchliche Angaben. Verschiedene Quellen gehen davon aus, dass der Zinssatz ab 2015 3.75 plus LIBOR betrug. Um möglichst konservativ zu rechnen und den steigenden LIBOR nicht berücksichtigen zu müssen, wird ab 2017 konstant mit einem Zinssatz von 3.75 gerechnet.
https://www.africaresearchinstitute.org/newsite/publications/mozambiques-debt-crisis-trawling-answers/.</text>
  </threadedComment>
</ThreadedComments>
</file>

<file path=xl/threadedComments/threadedComment2.xml><?xml version="1.0" encoding="utf-8"?>
<ThreadedComments xmlns="http://schemas.microsoft.com/office/spreadsheetml/2018/threadedcomments" xmlns:x="http://schemas.openxmlformats.org/spreadsheetml/2006/main">
  <threadedComment ref="C2" dT="2019-08-07T14:22:32.41" personId="{0C08D945-5E47-4208-88EF-BAE2D305C697}" id="{B48533FE-3EF1-4D72-8763-0F2B0068AD3D}">
    <text>siehe Kroll-Report S.113</text>
  </threadedComment>
  <threadedComment ref="E7" dT="2019-08-07T14:22:17.43" personId="{0C08D945-5E47-4208-88EF-BAE2D305C697}" id="{19CC3D67-C8F5-47DC-AB23-0D1E3B2CEC25}">
    <text>principal repayment laut Kroll-Report 5.3.2, S. 106</text>
  </threadedComment>
  <threadedComment ref="A11" dT="2019-08-07T14:21:27.11" personId="{0C08D945-5E47-4208-88EF-BAE2D305C697}" id="{9A8FF879-4F9C-408B-ABAD-079BB0667341}">
    <text>https://www.bloomberg.com/news/articles/2016-04-01/mozambique-to-issue-sovereign-bond-as-tuna-investors-accept-swap</text>
  </threadedComment>
  <threadedComment ref="F11" dT="2019-08-07T14:21:47.70" personId="{0C08D945-5E47-4208-88EF-BAE2D305C697}" id="{0AC69C8E-A09F-40D6-9526-509FFE1FBF80}">
    <text>https://www.bloomberg.com/news/articles/2016-04-01/mozambique-to-issue-sovereign-bond-as-tuna-investors-accept-swap</text>
  </threadedComment>
  <threadedComment ref="D12" dT="2019-08-07T14:29:39.00" personId="{0C08D945-5E47-4208-88EF-BAE2D305C697}" id="{A04DFA80-B7D5-4E98-BC61-D4C282EADF99}">
    <text>https://www.bloomberg.com/news/articles/2016-04-01/mozambique-to-issue-sovereign-bond-as-tuna-investors-accept-swap</text>
  </threadedComment>
  <threadedComment ref="A22" dT="2019-08-07T14:19:06.19" personId="{0C08D945-5E47-4208-88EF-BAE2D305C697}" id="{4515AA1B-86B8-46F2-AB8A-6994014B6C76}">
    <text>https://clubofmozambique.com/news/finance-ministry-strikes-another-deal-with-ematum-bondholders-aim-report/</text>
  </threadedComment>
  <threadedComment ref="D23" dT="2019-08-07T14:30:00.77" personId="{0C08D945-5E47-4208-88EF-BAE2D305C697}" id="{036FF3B4-16D4-4DA3-B4C3-66758924006F}">
    <text>https://clubofmozambique.com/news/finance-ministry-strikes-another-deal-with-ematum-bondholders-aim-report/</text>
  </threadedComment>
  <threadedComment ref="D28" dT="2019-08-07T14:30:15.24" personId="{0C08D945-5E47-4208-88EF-BAE2D305C697}" id="{97EA83E0-A827-4F6A-B184-28D8B1B4ED07}">
    <text>Ab 2024 höhere Zinsen. Siehe: https://clubofmozambique.com/news/finance-ministry-strikes-another-deal-with-ematum-bondholders-aim-report/</text>
  </threadedComment>
  <threadedComment ref="E33" dT="2019-08-07T14:30:38.61" personId="{0C08D945-5E47-4208-88EF-BAE2D305C697}" id="{25AEC6A0-33E7-4537-85FD-90B2C2FD7CF4}">
    <text>ab 2028 Rückzahlung, siehe: https://clubofmozambique.com/news/finance-ministry-strikes-another-deal-with-ematum-bondholders-aim-report/</text>
  </threadedComment>
</ThreadedComments>
</file>

<file path=xl/threadedComments/threadedComment3.xml><?xml version="1.0" encoding="utf-8"?>
<ThreadedComments xmlns="http://schemas.microsoft.com/office/spreadsheetml/2018/threadedcomments" xmlns:x="http://schemas.openxmlformats.org/spreadsheetml/2006/main">
  <threadedComment ref="C3" dT="2019-08-07T14:25:17.53" personId="{0C08D945-5E47-4208-88EF-BAE2D305C697}" id="{A03FF920-124E-4079-95D4-45955FCEDA70}">
    <text>Kroll S. 149</text>
  </threadedComment>
  <threadedComment ref="D3" dT="2019-08-07T14:24:16.73" personId="{0C08D945-5E47-4208-88EF-BAE2D305C697}" id="{8026DA5F-83D3-496B-AE4D-D30D61C4AD8D}">
    <text>Kroll-Report S. 146</text>
  </threadedComment>
  <threadedComment ref="D8" dT="2019-08-07T14:27:18.35" personId="{0C08D945-5E47-4208-88EF-BAE2D305C697}" id="{2F029DF4-B1BA-4323-9233-95C6B742805C}">
    <text>2015 betug der effektive Zinssatz 7.63%. Um möglichst konservativ zu rechnen und den steigenden LIBOR nicht berücksichtigen zu müssen, wird ab 2016 konstant mit demselben Zinssatz von 7.63 gerechnet.</text>
  </threadedComment>
  <threadedComment ref="F8" dT="2019-08-07T14:27:34.00" personId="{0C08D945-5E47-4208-88EF-BAE2D305C697}" id="{4E1AE827-D315-4823-9965-1ABE60D0EDE2}">
    <text>Keine Rückzahlungen</text>
  </threadedComment>
</ThreadedComment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clubofmozambique.com/news/government-releases-details-proindicus-mam-loans-aim-report/"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3" Type="http://schemas.microsoft.com/office/2017/10/relationships/threadedComment" Target="../threadedComments/threadedComment3.xml"/><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9D002-AB81-430B-BC51-8785567B23CB}">
  <dimension ref="A1:D11"/>
  <sheetViews>
    <sheetView tabSelected="1" workbookViewId="0">
      <selection activeCell="B9" sqref="B9"/>
    </sheetView>
  </sheetViews>
  <sheetFormatPr baseColWidth="10" defaultRowHeight="14.4" x14ac:dyDescent="0.55000000000000004"/>
  <cols>
    <col min="1" max="1" width="39.9453125" customWidth="1"/>
    <col min="2" max="2" width="28" customWidth="1"/>
    <col min="3" max="3" width="13" bestFit="1" customWidth="1"/>
    <col min="4" max="4" width="14.41796875" bestFit="1" customWidth="1"/>
  </cols>
  <sheetData>
    <row r="1" spans="1:4" x14ac:dyDescent="0.55000000000000004">
      <c r="A1" s="5" t="s">
        <v>42</v>
      </c>
      <c r="B1" t="s">
        <v>41</v>
      </c>
      <c r="C1" t="s">
        <v>33</v>
      </c>
      <c r="D1" t="s">
        <v>34</v>
      </c>
    </row>
    <row r="2" spans="1:4" x14ac:dyDescent="0.55000000000000004">
      <c r="A2" t="s">
        <v>35</v>
      </c>
      <c r="B2" s="6">
        <v>622000000</v>
      </c>
      <c r="C2" s="6">
        <f>Proindicus!C20</f>
        <v>180436914</v>
      </c>
      <c r="D2" s="6">
        <f>C2+B2</f>
        <v>802436914</v>
      </c>
    </row>
    <row r="3" spans="1:4" x14ac:dyDescent="0.55000000000000004">
      <c r="A3" t="s">
        <v>40</v>
      </c>
      <c r="B3" s="6">
        <v>900000000</v>
      </c>
      <c r="C3" s="6">
        <f>Ematum!C48</f>
        <v>913500000</v>
      </c>
      <c r="D3" s="6">
        <f>C3+B3</f>
        <v>1813500000</v>
      </c>
    </row>
    <row r="4" spans="1:4" x14ac:dyDescent="0.55000000000000004">
      <c r="A4" t="s">
        <v>36</v>
      </c>
      <c r="B4" s="6">
        <v>535000000</v>
      </c>
      <c r="C4" s="6">
        <f>MAM!C17</f>
        <v>163200000</v>
      </c>
      <c r="D4" s="6">
        <f>C4+B4</f>
        <v>698200000</v>
      </c>
    </row>
    <row r="5" spans="1:4" x14ac:dyDescent="0.55000000000000004">
      <c r="D5" s="6">
        <f>SUM(D2:D4)</f>
        <v>3314136914</v>
      </c>
    </row>
    <row r="7" spans="1:4" x14ac:dyDescent="0.55000000000000004">
      <c r="A7" s="5"/>
    </row>
    <row r="8" spans="1:4" ht="57.6" x14ac:dyDescent="0.55000000000000004">
      <c r="A8" s="18" t="s">
        <v>47</v>
      </c>
      <c r="B8" s="6"/>
      <c r="C8" s="6"/>
      <c r="D8" s="6"/>
    </row>
    <row r="9" spans="1:4" x14ac:dyDescent="0.55000000000000004">
      <c r="B9" s="6"/>
      <c r="C9" s="6"/>
      <c r="D9" s="6"/>
    </row>
    <row r="10" spans="1:4" x14ac:dyDescent="0.55000000000000004">
      <c r="B10" s="6"/>
      <c r="C10" s="6"/>
      <c r="D10" s="6"/>
    </row>
    <row r="11" spans="1:4" x14ac:dyDescent="0.55000000000000004">
      <c r="D11" s="6"/>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B92B8-6540-4A2A-8AC0-1FAE045A5047}">
  <dimension ref="A1:I27"/>
  <sheetViews>
    <sheetView topLeftCell="A2" workbookViewId="0">
      <selection activeCell="C14" sqref="C14"/>
    </sheetView>
  </sheetViews>
  <sheetFormatPr baseColWidth="10" defaultRowHeight="14.4" x14ac:dyDescent="0.55000000000000004"/>
  <cols>
    <col min="1" max="1" width="38.83984375" style="2" customWidth="1"/>
    <col min="2" max="2" width="21.7890625" customWidth="1"/>
    <col min="3" max="3" width="29.20703125" customWidth="1"/>
    <col min="4" max="4" width="11" bestFit="1" customWidth="1"/>
    <col min="5" max="5" width="20.89453125" customWidth="1"/>
    <col min="6" max="6" width="13" bestFit="1" customWidth="1"/>
    <col min="7" max="7" width="15.734375" customWidth="1"/>
    <col min="8" max="8" width="17.3671875" customWidth="1"/>
  </cols>
  <sheetData>
    <row r="1" spans="1:9" x14ac:dyDescent="0.55000000000000004">
      <c r="A1" s="2" t="s">
        <v>0</v>
      </c>
    </row>
    <row r="2" spans="1:9" x14ac:dyDescent="0.55000000000000004">
      <c r="A2" s="5" t="s">
        <v>3</v>
      </c>
    </row>
    <row r="3" spans="1:9" x14ac:dyDescent="0.55000000000000004">
      <c r="A3" s="4" t="s">
        <v>8</v>
      </c>
      <c r="B3" t="s">
        <v>11</v>
      </c>
      <c r="C3" t="s">
        <v>26</v>
      </c>
      <c r="D3" t="s">
        <v>2</v>
      </c>
      <c r="E3" t="s">
        <v>9</v>
      </c>
      <c r="F3" t="s">
        <v>6</v>
      </c>
      <c r="G3" t="s">
        <v>5</v>
      </c>
    </row>
    <row r="4" spans="1:9" x14ac:dyDescent="0.55000000000000004">
      <c r="A4" s="2">
        <v>41719</v>
      </c>
      <c r="B4" t="s">
        <v>1</v>
      </c>
      <c r="C4" s="6">
        <v>16759654</v>
      </c>
      <c r="D4">
        <v>3.2</v>
      </c>
      <c r="E4" s="6">
        <f>C4/G4*100</f>
        <v>2.6944781350482314</v>
      </c>
      <c r="F4" s="6"/>
      <c r="G4" s="6">
        <v>622000000</v>
      </c>
    </row>
    <row r="5" spans="1:9" x14ac:dyDescent="0.55000000000000004">
      <c r="A5" s="2">
        <v>42086</v>
      </c>
      <c r="B5" t="s">
        <v>1</v>
      </c>
      <c r="C5" s="6">
        <v>23813417</v>
      </c>
      <c r="D5" s="6">
        <v>3.75</v>
      </c>
      <c r="E5" s="6">
        <f>C5/G5*100</f>
        <v>3.8285236334405144</v>
      </c>
      <c r="F5" s="6"/>
      <c r="G5" s="6">
        <v>622000000</v>
      </c>
    </row>
    <row r="6" spans="1:9" x14ac:dyDescent="0.55000000000000004">
      <c r="A6" s="2">
        <v>42450</v>
      </c>
      <c r="B6" t="s">
        <v>1</v>
      </c>
      <c r="C6" s="6">
        <v>27903843</v>
      </c>
      <c r="D6" s="6">
        <v>3.75</v>
      </c>
      <c r="E6" s="6">
        <f>C6/G6*100</f>
        <v>4.4861483922829581</v>
      </c>
      <c r="F6" s="6"/>
      <c r="G6" s="6">
        <v>622000000</v>
      </c>
    </row>
    <row r="7" spans="1:9" x14ac:dyDescent="0.55000000000000004">
      <c r="A7" s="2">
        <v>42450</v>
      </c>
      <c r="B7" t="s">
        <v>24</v>
      </c>
      <c r="C7" s="6"/>
      <c r="D7" s="6"/>
      <c r="E7" s="6"/>
      <c r="F7" s="6">
        <v>24880000</v>
      </c>
      <c r="G7" s="6">
        <f>622000000-F7</f>
        <v>597120000</v>
      </c>
    </row>
    <row r="8" spans="1:9" x14ac:dyDescent="0.55000000000000004">
      <c r="C8" s="6"/>
      <c r="D8" s="3"/>
      <c r="E8" s="6"/>
      <c r="F8" s="6"/>
      <c r="G8" s="6"/>
    </row>
    <row r="9" spans="1:9" x14ac:dyDescent="0.55000000000000004">
      <c r="A9" s="4" t="s">
        <v>43</v>
      </c>
      <c r="C9" s="6" t="s">
        <v>25</v>
      </c>
      <c r="D9" s="6"/>
      <c r="E9" s="6"/>
      <c r="F9" s="6"/>
      <c r="G9" s="6"/>
    </row>
    <row r="10" spans="1:9" x14ac:dyDescent="0.55000000000000004">
      <c r="A10" s="2">
        <v>42815</v>
      </c>
      <c r="B10" t="s">
        <v>1</v>
      </c>
      <c r="C10" s="6">
        <f>G7/100*(D10)</f>
        <v>22392000</v>
      </c>
      <c r="D10" s="6">
        <v>3.75</v>
      </c>
      <c r="F10" s="6"/>
      <c r="G10" s="6">
        <f>G7</f>
        <v>597120000</v>
      </c>
      <c r="I10" s="19" t="s">
        <v>23</v>
      </c>
    </row>
    <row r="11" spans="1:9" x14ac:dyDescent="0.55000000000000004">
      <c r="A11" s="2">
        <v>42815</v>
      </c>
      <c r="B11" t="s">
        <v>24</v>
      </c>
      <c r="C11" s="6"/>
      <c r="D11" s="6"/>
      <c r="F11" s="6">
        <v>0</v>
      </c>
      <c r="G11" s="6">
        <f>G4-F7-F11</f>
        <v>597120000</v>
      </c>
    </row>
    <row r="12" spans="1:9" x14ac:dyDescent="0.55000000000000004">
      <c r="A12" s="2">
        <v>43180</v>
      </c>
      <c r="B12" t="s">
        <v>1</v>
      </c>
      <c r="C12" s="6">
        <f>G11/100*(D12)</f>
        <v>22392000</v>
      </c>
      <c r="D12" s="6">
        <v>3.75</v>
      </c>
      <c r="F12" s="6"/>
      <c r="G12" s="6">
        <f>G11</f>
        <v>597120000</v>
      </c>
    </row>
    <row r="13" spans="1:9" x14ac:dyDescent="0.55000000000000004">
      <c r="A13" s="2">
        <v>43180</v>
      </c>
      <c r="B13" t="s">
        <v>24</v>
      </c>
      <c r="C13" s="6"/>
      <c r="D13" s="6"/>
      <c r="F13" s="6">
        <v>0</v>
      </c>
      <c r="G13" s="6">
        <f>G11-F13</f>
        <v>597120000</v>
      </c>
    </row>
    <row r="14" spans="1:9" x14ac:dyDescent="0.55000000000000004">
      <c r="A14" s="2">
        <v>43545</v>
      </c>
      <c r="B14" t="s">
        <v>1</v>
      </c>
      <c r="C14" s="6">
        <f>G13/100*(D14)</f>
        <v>22392000</v>
      </c>
      <c r="D14" s="6">
        <v>3.75</v>
      </c>
      <c r="F14" s="6"/>
      <c r="G14" s="6">
        <f>G13</f>
        <v>597120000</v>
      </c>
    </row>
    <row r="15" spans="1:9" x14ac:dyDescent="0.55000000000000004">
      <c r="A15" s="2">
        <v>43545</v>
      </c>
      <c r="B15" t="s">
        <v>4</v>
      </c>
      <c r="D15" s="6"/>
      <c r="F15" s="6">
        <v>0</v>
      </c>
      <c r="G15" s="6">
        <f>G14-F15</f>
        <v>597120000</v>
      </c>
    </row>
    <row r="16" spans="1:9" x14ac:dyDescent="0.55000000000000004">
      <c r="A16" s="2">
        <v>43911</v>
      </c>
      <c r="B16" t="s">
        <v>1</v>
      </c>
      <c r="C16" s="6">
        <f>G16/100*D16</f>
        <v>22392000</v>
      </c>
      <c r="D16" s="6">
        <v>3.75</v>
      </c>
      <c r="F16" s="6"/>
      <c r="G16" s="6">
        <f>G15</f>
        <v>597120000</v>
      </c>
    </row>
    <row r="17" spans="1:8" x14ac:dyDescent="0.55000000000000004">
      <c r="A17" s="2">
        <v>43911</v>
      </c>
      <c r="B17" t="s">
        <v>4</v>
      </c>
      <c r="C17" s="6"/>
      <c r="D17" s="6"/>
      <c r="F17" s="6">
        <v>0</v>
      </c>
      <c r="G17" s="6">
        <f>G16-F17</f>
        <v>597120000</v>
      </c>
    </row>
    <row r="18" spans="1:8" x14ac:dyDescent="0.55000000000000004">
      <c r="A18" s="2">
        <v>44276</v>
      </c>
      <c r="B18" t="s">
        <v>1</v>
      </c>
      <c r="C18" s="6">
        <f>G18/100*D18</f>
        <v>22392000</v>
      </c>
      <c r="D18" s="6">
        <v>3.75</v>
      </c>
      <c r="F18" s="6"/>
      <c r="G18" s="6">
        <f>G17</f>
        <v>597120000</v>
      </c>
    </row>
    <row r="19" spans="1:8" x14ac:dyDescent="0.55000000000000004">
      <c r="A19" s="2">
        <v>44276</v>
      </c>
      <c r="B19" t="s">
        <v>4</v>
      </c>
      <c r="C19" s="6"/>
      <c r="D19" s="6"/>
      <c r="F19" s="6">
        <v>0</v>
      </c>
      <c r="G19" s="6">
        <f>G18</f>
        <v>597120000</v>
      </c>
    </row>
    <row r="20" spans="1:8" x14ac:dyDescent="0.55000000000000004">
      <c r="A20" s="9" t="s">
        <v>29</v>
      </c>
      <c r="B20" s="10"/>
      <c r="C20" s="7">
        <f>SUM(C10:C19)+C6+C5+C4</f>
        <v>180436914</v>
      </c>
      <c r="D20" s="7"/>
      <c r="E20" s="10"/>
      <c r="F20" s="7"/>
      <c r="G20" s="7">
        <f>G4</f>
        <v>622000000</v>
      </c>
      <c r="H20" s="7">
        <f>G20+C20</f>
        <v>802436914</v>
      </c>
    </row>
    <row r="21" spans="1:8" x14ac:dyDescent="0.55000000000000004">
      <c r="A21" s="11" t="s">
        <v>30</v>
      </c>
      <c r="D21" s="6"/>
      <c r="E21" s="6"/>
      <c r="F21" s="6"/>
      <c r="G21" s="6"/>
    </row>
    <row r="22" spans="1:8" x14ac:dyDescent="0.55000000000000004">
      <c r="A22" s="5"/>
      <c r="G22" s="6"/>
    </row>
    <row r="23" spans="1:8" x14ac:dyDescent="0.55000000000000004">
      <c r="C23" s="6"/>
      <c r="D23" s="6"/>
      <c r="E23" s="6"/>
      <c r="F23" s="6"/>
      <c r="G23" s="6"/>
    </row>
    <row r="24" spans="1:8" x14ac:dyDescent="0.55000000000000004">
      <c r="C24" s="6"/>
      <c r="D24" s="6"/>
      <c r="E24" s="6"/>
      <c r="F24" s="6"/>
      <c r="G24" s="6"/>
    </row>
    <row r="25" spans="1:8" x14ac:dyDescent="0.55000000000000004">
      <c r="A25"/>
      <c r="D25" s="6"/>
      <c r="E25" s="6"/>
      <c r="F25" s="6"/>
      <c r="G25" s="6"/>
    </row>
    <row r="26" spans="1:8" x14ac:dyDescent="0.55000000000000004">
      <c r="C26" s="6"/>
      <c r="D26" s="6"/>
      <c r="E26" s="6"/>
      <c r="F26" s="6"/>
      <c r="G26" s="6"/>
    </row>
    <row r="27" spans="1:8" x14ac:dyDescent="0.55000000000000004">
      <c r="C27" s="6"/>
      <c r="D27" s="6"/>
      <c r="E27" s="6"/>
      <c r="F27" s="6"/>
      <c r="G27" s="6"/>
    </row>
  </sheetData>
  <hyperlinks>
    <hyperlink ref="I10" r:id="rId1" xr:uid="{12CE3CB5-766F-4B8A-86D5-6C4CA74938B2}"/>
  </hyperlinks>
  <pageMargins left="0.7" right="0.7" top="0.78740157499999996" bottom="0.78740157499999996" header="0.3" footer="0.3"/>
  <pageSetup paperSize="9" orientation="portrait" horizontalDpi="1200" verticalDpi="1200"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00BB9-5A2A-49A8-B39D-D7AEEBE2AE76}">
  <dimension ref="A1:I48"/>
  <sheetViews>
    <sheetView workbookViewId="0">
      <selection activeCell="E1" sqref="E1"/>
    </sheetView>
  </sheetViews>
  <sheetFormatPr baseColWidth="10" defaultRowHeight="14.4" x14ac:dyDescent="0.55000000000000004"/>
  <cols>
    <col min="1" max="1" width="56.05078125" customWidth="1"/>
    <col min="2" max="2" width="23.68359375" customWidth="1"/>
    <col min="3" max="3" width="18.62890625" customWidth="1"/>
    <col min="4" max="4" width="11" bestFit="1" customWidth="1"/>
    <col min="5" max="5" width="19.41796875" customWidth="1"/>
    <col min="6" max="6" width="21" customWidth="1"/>
    <col min="7" max="7" width="19.62890625" customWidth="1"/>
    <col min="8" max="8" width="13" bestFit="1" customWidth="1"/>
  </cols>
  <sheetData>
    <row r="1" spans="1:9" x14ac:dyDescent="0.55000000000000004">
      <c r="A1" s="1" t="s">
        <v>12</v>
      </c>
    </row>
    <row r="2" spans="1:9" x14ac:dyDescent="0.55000000000000004">
      <c r="A2" s="4" t="s">
        <v>8</v>
      </c>
      <c r="C2" t="s">
        <v>7</v>
      </c>
      <c r="D2" t="s">
        <v>2</v>
      </c>
      <c r="E2" t="s">
        <v>6</v>
      </c>
      <c r="F2" t="s">
        <v>5</v>
      </c>
      <c r="G2" t="s">
        <v>22</v>
      </c>
    </row>
    <row r="3" spans="1:9" x14ac:dyDescent="0.55000000000000004">
      <c r="A3" s="2">
        <v>41708</v>
      </c>
      <c r="B3" t="s">
        <v>13</v>
      </c>
      <c r="C3" s="6">
        <v>25106160</v>
      </c>
      <c r="D3" s="6"/>
      <c r="E3" s="6"/>
      <c r="F3" s="6">
        <v>850000000</v>
      </c>
      <c r="G3" s="6"/>
      <c r="I3" s="6"/>
    </row>
    <row r="4" spans="1:9" x14ac:dyDescent="0.55000000000000004">
      <c r="A4" s="2">
        <v>41892</v>
      </c>
      <c r="B4" t="s">
        <v>13</v>
      </c>
      <c r="C4" s="6">
        <v>26796250</v>
      </c>
      <c r="D4" s="6">
        <f>(C3+C4)/850000000*100</f>
        <v>6.1061658823529408</v>
      </c>
      <c r="E4" s="6"/>
      <c r="F4" s="6">
        <f>F3</f>
        <v>850000000</v>
      </c>
      <c r="G4" s="6"/>
      <c r="I4" s="6"/>
    </row>
    <row r="5" spans="1:9" x14ac:dyDescent="0.55000000000000004">
      <c r="A5" s="2">
        <v>42080</v>
      </c>
      <c r="B5" t="s">
        <v>13</v>
      </c>
      <c r="C5" s="6">
        <v>26796250</v>
      </c>
      <c r="D5" s="6"/>
      <c r="E5" s="6"/>
      <c r="F5" s="6">
        <f>F3</f>
        <v>850000000</v>
      </c>
      <c r="G5" s="6"/>
      <c r="I5" s="6"/>
    </row>
    <row r="6" spans="1:9" x14ac:dyDescent="0.55000000000000004">
      <c r="A6" s="2">
        <v>42258</v>
      </c>
      <c r="B6" t="s">
        <v>13</v>
      </c>
      <c r="C6" s="6">
        <v>26796250</v>
      </c>
      <c r="D6" s="6">
        <f>(C6+C5)/F6*100</f>
        <v>6.3049999999999997</v>
      </c>
      <c r="E6" s="6"/>
      <c r="F6" s="6">
        <f>F5</f>
        <v>850000000</v>
      </c>
      <c r="G6" s="6"/>
      <c r="I6" s="6"/>
    </row>
    <row r="7" spans="1:9" x14ac:dyDescent="0.55000000000000004">
      <c r="A7" s="2">
        <v>42258</v>
      </c>
      <c r="B7" t="s">
        <v>14</v>
      </c>
      <c r="C7" s="6"/>
      <c r="D7" s="6"/>
      <c r="E7" s="6">
        <v>76500000</v>
      </c>
      <c r="F7" s="6">
        <f>850000000-E7</f>
        <v>773500000</v>
      </c>
      <c r="I7" s="6"/>
    </row>
    <row r="8" spans="1:9" x14ac:dyDescent="0.55000000000000004">
      <c r="A8" s="2">
        <v>42440</v>
      </c>
      <c r="B8" t="s">
        <v>13</v>
      </c>
      <c r="C8" s="6">
        <v>24384587</v>
      </c>
      <c r="D8" s="6">
        <f>C8/F8*100*2</f>
        <v>6.3049998707175172</v>
      </c>
      <c r="E8" s="6"/>
      <c r="F8" s="6">
        <f>F7</f>
        <v>773500000</v>
      </c>
      <c r="G8" s="6"/>
      <c r="I8" s="6"/>
    </row>
    <row r="9" spans="1:9" x14ac:dyDescent="0.55000000000000004">
      <c r="A9" s="2">
        <v>42440</v>
      </c>
      <c r="B9" t="s">
        <v>14</v>
      </c>
      <c r="D9" s="6"/>
      <c r="E9" s="6">
        <v>76500000</v>
      </c>
      <c r="F9" s="6">
        <f>F8-E9</f>
        <v>697000000</v>
      </c>
      <c r="G9" s="6"/>
      <c r="I9" s="6"/>
    </row>
    <row r="10" spans="1:9" x14ac:dyDescent="0.55000000000000004">
      <c r="C10" s="6"/>
      <c r="D10" s="6"/>
      <c r="E10" s="6"/>
      <c r="F10" s="6"/>
      <c r="G10" s="6"/>
      <c r="H10" s="6"/>
      <c r="I10" s="6"/>
    </row>
    <row r="11" spans="1:9" x14ac:dyDescent="0.55000000000000004">
      <c r="A11" s="1" t="s">
        <v>44</v>
      </c>
      <c r="B11" t="s">
        <v>46</v>
      </c>
      <c r="C11" s="6">
        <v>31000000</v>
      </c>
      <c r="D11" s="6"/>
      <c r="E11" s="6"/>
      <c r="F11" s="6">
        <v>727000000</v>
      </c>
      <c r="G11" s="6"/>
      <c r="H11" s="6"/>
      <c r="I11" s="6"/>
    </row>
    <row r="12" spans="1:9" x14ac:dyDescent="0.55000000000000004">
      <c r="A12" s="2" t="s">
        <v>15</v>
      </c>
      <c r="B12" t="s">
        <v>13</v>
      </c>
      <c r="C12" s="6">
        <f>F11/100*10.5</f>
        <v>76335000</v>
      </c>
      <c r="D12" s="6">
        <v>10.5</v>
      </c>
      <c r="E12" s="6"/>
      <c r="F12" s="6"/>
      <c r="G12" s="6"/>
      <c r="H12" s="6"/>
      <c r="I12" s="6"/>
    </row>
    <row r="13" spans="1:9" x14ac:dyDescent="0.55000000000000004">
      <c r="A13" t="s">
        <v>16</v>
      </c>
      <c r="B13" t="s">
        <v>13</v>
      </c>
      <c r="C13" s="6">
        <f>C12</f>
        <v>76335000</v>
      </c>
      <c r="D13" s="6">
        <v>10.5</v>
      </c>
      <c r="F13" s="6"/>
      <c r="G13" s="6"/>
      <c r="H13" s="6"/>
      <c r="I13" s="6"/>
    </row>
    <row r="14" spans="1:9" x14ac:dyDescent="0.55000000000000004">
      <c r="A14" t="s">
        <v>17</v>
      </c>
      <c r="B14" t="s">
        <v>13</v>
      </c>
      <c r="C14" s="6">
        <f>C13</f>
        <v>76335000</v>
      </c>
      <c r="D14" s="6">
        <v>10.5</v>
      </c>
      <c r="F14" s="6"/>
      <c r="G14" s="6"/>
      <c r="H14" s="6"/>
      <c r="I14" s="6"/>
    </row>
    <row r="15" spans="1:9" x14ac:dyDescent="0.55000000000000004">
      <c r="A15" t="s">
        <v>18</v>
      </c>
      <c r="B15" t="s">
        <v>13</v>
      </c>
      <c r="C15" s="6">
        <f t="shared" ref="C15" si="0">C14</f>
        <v>76335000</v>
      </c>
      <c r="D15" s="6">
        <v>10.5</v>
      </c>
      <c r="I15" s="6"/>
    </row>
    <row r="16" spans="1:9" x14ac:dyDescent="0.55000000000000004">
      <c r="A16" t="s">
        <v>19</v>
      </c>
      <c r="B16" t="s">
        <v>13</v>
      </c>
      <c r="C16" s="6">
        <f>C14</f>
        <v>76335000</v>
      </c>
      <c r="D16" s="6">
        <v>10.5</v>
      </c>
    </row>
    <row r="17" spans="1:9" x14ac:dyDescent="0.55000000000000004">
      <c r="A17" t="s">
        <v>20</v>
      </c>
      <c r="B17" t="s">
        <v>13</v>
      </c>
      <c r="C17" s="6">
        <f t="shared" ref="C17" si="1">C16</f>
        <v>76335000</v>
      </c>
      <c r="D17" s="6">
        <v>10.5</v>
      </c>
      <c r="F17" s="6"/>
      <c r="G17" s="6"/>
      <c r="H17" s="6"/>
      <c r="I17" s="6"/>
    </row>
    <row r="18" spans="1:9" x14ac:dyDescent="0.55000000000000004">
      <c r="A18" t="s">
        <v>21</v>
      </c>
      <c r="B18" t="s">
        <v>13</v>
      </c>
      <c r="C18" s="6">
        <f>C17</f>
        <v>76335000</v>
      </c>
      <c r="D18" s="6">
        <v>10.5</v>
      </c>
      <c r="F18" s="6"/>
      <c r="G18" s="6"/>
      <c r="H18" s="6"/>
      <c r="I18" s="6"/>
    </row>
    <row r="19" spans="1:9" x14ac:dyDescent="0.55000000000000004">
      <c r="A19" s="14" t="s">
        <v>32</v>
      </c>
      <c r="B19" s="14"/>
      <c r="C19" s="13">
        <f>SUM(C3:C18)</f>
        <v>695224497</v>
      </c>
      <c r="D19" s="14"/>
      <c r="E19" s="8"/>
      <c r="F19" s="13">
        <f>F11+E9+E7</f>
        <v>880000000</v>
      </c>
      <c r="G19" s="13">
        <f>F19+C19</f>
        <v>1575224497</v>
      </c>
      <c r="H19" s="6"/>
      <c r="I19" s="6"/>
    </row>
    <row r="21" spans="1:9" x14ac:dyDescent="0.55000000000000004">
      <c r="F21" s="6"/>
    </row>
    <row r="22" spans="1:9" x14ac:dyDescent="0.55000000000000004">
      <c r="A22" s="15" t="s">
        <v>37</v>
      </c>
      <c r="B22" s="1"/>
      <c r="C22" s="3"/>
      <c r="D22" s="6"/>
      <c r="E22" s="6"/>
    </row>
    <row r="23" spans="1:9" x14ac:dyDescent="0.55000000000000004">
      <c r="A23">
        <v>2020</v>
      </c>
      <c r="B23" s="6" t="s">
        <v>38</v>
      </c>
      <c r="C23" s="6">
        <f t="shared" ref="C23:C32" si="2">F23/100*D23</f>
        <v>45000000</v>
      </c>
      <c r="D23" s="6">
        <v>5</v>
      </c>
      <c r="E23" s="6"/>
      <c r="F23" s="6">
        <v>900000000</v>
      </c>
      <c r="G23" s="6"/>
    </row>
    <row r="24" spans="1:9" x14ac:dyDescent="0.55000000000000004">
      <c r="A24">
        <v>2021</v>
      </c>
      <c r="B24" s="6" t="s">
        <v>38</v>
      </c>
      <c r="C24" s="6">
        <f t="shared" si="2"/>
        <v>45000000</v>
      </c>
      <c r="D24" s="6">
        <v>5</v>
      </c>
      <c r="E24" s="6"/>
      <c r="F24" s="6">
        <f t="shared" ref="F24:F32" si="3">F23</f>
        <v>900000000</v>
      </c>
      <c r="G24" s="6"/>
    </row>
    <row r="25" spans="1:9" x14ac:dyDescent="0.55000000000000004">
      <c r="A25">
        <v>2021</v>
      </c>
      <c r="B25" s="6" t="s">
        <v>38</v>
      </c>
      <c r="C25" s="6">
        <f t="shared" si="2"/>
        <v>45000000</v>
      </c>
      <c r="D25" s="6">
        <v>5</v>
      </c>
      <c r="E25" s="6"/>
      <c r="F25" s="6">
        <f t="shared" si="3"/>
        <v>900000000</v>
      </c>
      <c r="G25" s="6"/>
    </row>
    <row r="26" spans="1:9" x14ac:dyDescent="0.55000000000000004">
      <c r="A26">
        <v>2022</v>
      </c>
      <c r="B26" s="6" t="s">
        <v>38</v>
      </c>
      <c r="C26" s="6">
        <f t="shared" si="2"/>
        <v>45000000</v>
      </c>
      <c r="D26" s="6">
        <v>5</v>
      </c>
      <c r="E26" s="6"/>
      <c r="F26" s="6">
        <f t="shared" si="3"/>
        <v>900000000</v>
      </c>
      <c r="G26" s="6"/>
    </row>
    <row r="27" spans="1:9" x14ac:dyDescent="0.55000000000000004">
      <c r="A27">
        <v>2023</v>
      </c>
      <c r="B27" s="6" t="s">
        <v>38</v>
      </c>
      <c r="C27" s="6">
        <f t="shared" si="2"/>
        <v>45000000</v>
      </c>
      <c r="D27" s="6">
        <v>5</v>
      </c>
      <c r="E27" s="6"/>
      <c r="F27" s="6">
        <f t="shared" si="3"/>
        <v>900000000</v>
      </c>
      <c r="G27" s="6"/>
    </row>
    <row r="28" spans="1:9" x14ac:dyDescent="0.55000000000000004">
      <c r="A28">
        <v>2024</v>
      </c>
      <c r="B28" s="6" t="s">
        <v>38</v>
      </c>
      <c r="C28" s="6">
        <f t="shared" si="2"/>
        <v>81000000</v>
      </c>
      <c r="D28" s="6">
        <v>9</v>
      </c>
      <c r="E28" s="6"/>
      <c r="F28" s="6">
        <f t="shared" si="3"/>
        <v>900000000</v>
      </c>
      <c r="G28" s="6"/>
    </row>
    <row r="29" spans="1:9" x14ac:dyDescent="0.55000000000000004">
      <c r="A29">
        <v>2025</v>
      </c>
      <c r="B29" s="6" t="s">
        <v>38</v>
      </c>
      <c r="C29" s="6">
        <f t="shared" si="2"/>
        <v>81000000</v>
      </c>
      <c r="D29" s="6">
        <v>9</v>
      </c>
      <c r="E29" s="6"/>
      <c r="F29" s="6">
        <f t="shared" si="3"/>
        <v>900000000</v>
      </c>
      <c r="G29" s="6"/>
    </row>
    <row r="30" spans="1:9" x14ac:dyDescent="0.55000000000000004">
      <c r="A30">
        <v>2026</v>
      </c>
      <c r="B30" s="6" t="s">
        <v>38</v>
      </c>
      <c r="C30" s="6">
        <f t="shared" si="2"/>
        <v>81000000</v>
      </c>
      <c r="D30" s="6">
        <v>9</v>
      </c>
      <c r="E30" s="6"/>
      <c r="F30" s="6">
        <f t="shared" si="3"/>
        <v>900000000</v>
      </c>
      <c r="G30" s="6"/>
    </row>
    <row r="31" spans="1:9" x14ac:dyDescent="0.55000000000000004">
      <c r="A31">
        <v>2027</v>
      </c>
      <c r="B31" s="6" t="s">
        <v>38</v>
      </c>
      <c r="C31" s="6">
        <f t="shared" si="2"/>
        <v>81000000</v>
      </c>
      <c r="D31" s="6">
        <v>9</v>
      </c>
      <c r="E31" s="6"/>
      <c r="F31" s="6">
        <f t="shared" si="3"/>
        <v>900000000</v>
      </c>
      <c r="G31" s="6"/>
    </row>
    <row r="32" spans="1:9" x14ac:dyDescent="0.55000000000000004">
      <c r="A32" s="16">
        <v>46813</v>
      </c>
      <c r="B32" s="6" t="s">
        <v>38</v>
      </c>
      <c r="C32" s="6">
        <f t="shared" si="2"/>
        <v>81000000</v>
      </c>
      <c r="D32" s="6">
        <v>9</v>
      </c>
      <c r="E32" s="6"/>
      <c r="F32" s="6">
        <f t="shared" si="3"/>
        <v>900000000</v>
      </c>
      <c r="G32" s="6"/>
    </row>
    <row r="33" spans="1:7" x14ac:dyDescent="0.55000000000000004">
      <c r="A33" s="16">
        <v>46813</v>
      </c>
      <c r="B33" t="s">
        <v>14</v>
      </c>
      <c r="C33" s="6"/>
      <c r="D33" s="6"/>
      <c r="E33">
        <v>112500000</v>
      </c>
      <c r="F33" s="6">
        <f>F32-E33</f>
        <v>787500000</v>
      </c>
      <c r="G33" s="6"/>
    </row>
    <row r="34" spans="1:7" x14ac:dyDescent="0.55000000000000004">
      <c r="A34" s="16">
        <v>46997</v>
      </c>
      <c r="B34" s="6" t="s">
        <v>38</v>
      </c>
      <c r="C34" s="6">
        <f>F33/100*D34</f>
        <v>70875000</v>
      </c>
      <c r="D34" s="6">
        <v>9</v>
      </c>
      <c r="E34" s="6"/>
      <c r="F34" s="6"/>
      <c r="G34" s="6"/>
    </row>
    <row r="35" spans="1:7" x14ac:dyDescent="0.55000000000000004">
      <c r="A35" s="16">
        <v>46997</v>
      </c>
      <c r="B35" t="s">
        <v>14</v>
      </c>
      <c r="C35" s="6"/>
      <c r="D35" s="6"/>
      <c r="E35">
        <v>112500000</v>
      </c>
      <c r="F35" s="6">
        <f>F33-E35</f>
        <v>675000000</v>
      </c>
      <c r="G35" s="6"/>
    </row>
    <row r="36" spans="1:7" x14ac:dyDescent="0.55000000000000004">
      <c r="A36" s="16">
        <v>47178</v>
      </c>
      <c r="B36" s="6" t="s">
        <v>38</v>
      </c>
      <c r="C36" s="6">
        <f>F35/100*9</f>
        <v>60750000</v>
      </c>
      <c r="D36" s="6">
        <v>9</v>
      </c>
      <c r="E36" s="6"/>
      <c r="F36" s="6"/>
      <c r="G36" s="6"/>
    </row>
    <row r="37" spans="1:7" x14ac:dyDescent="0.55000000000000004">
      <c r="A37" s="16">
        <v>47178</v>
      </c>
      <c r="B37" t="s">
        <v>14</v>
      </c>
      <c r="C37" s="6"/>
      <c r="D37" s="6"/>
      <c r="E37">
        <v>112500000</v>
      </c>
      <c r="F37" s="6">
        <f>F35-E37</f>
        <v>562500000</v>
      </c>
      <c r="G37" s="6"/>
    </row>
    <row r="38" spans="1:7" x14ac:dyDescent="0.55000000000000004">
      <c r="A38" s="16">
        <v>47362</v>
      </c>
      <c r="B38" s="6" t="s">
        <v>38</v>
      </c>
      <c r="C38" s="6">
        <f>F37/100*9</f>
        <v>50625000</v>
      </c>
      <c r="D38" s="6">
        <v>9</v>
      </c>
      <c r="E38" s="6"/>
      <c r="F38" s="6"/>
      <c r="G38" s="6"/>
    </row>
    <row r="39" spans="1:7" x14ac:dyDescent="0.55000000000000004">
      <c r="A39" s="16">
        <v>47362</v>
      </c>
      <c r="B39" t="s">
        <v>14</v>
      </c>
      <c r="C39" s="6"/>
      <c r="D39" s="6"/>
      <c r="E39">
        <v>112500000</v>
      </c>
      <c r="F39" s="6">
        <f>F37-E39</f>
        <v>450000000</v>
      </c>
      <c r="G39" s="6"/>
    </row>
    <row r="40" spans="1:7" x14ac:dyDescent="0.55000000000000004">
      <c r="A40" s="16">
        <v>11018</v>
      </c>
      <c r="B40" s="6" t="s">
        <v>38</v>
      </c>
      <c r="C40">
        <f>F39/100*9</f>
        <v>40500000</v>
      </c>
      <c r="D40" s="6">
        <v>9</v>
      </c>
    </row>
    <row r="41" spans="1:7" x14ac:dyDescent="0.55000000000000004">
      <c r="A41" s="16">
        <v>11018</v>
      </c>
      <c r="B41" t="s">
        <v>14</v>
      </c>
      <c r="E41">
        <v>112500000</v>
      </c>
      <c r="F41" s="6">
        <f>F39-E41</f>
        <v>337500000</v>
      </c>
    </row>
    <row r="42" spans="1:7" x14ac:dyDescent="0.55000000000000004">
      <c r="A42" s="16">
        <v>11202</v>
      </c>
      <c r="B42" s="6" t="s">
        <v>38</v>
      </c>
      <c r="C42">
        <f>F41/100*9</f>
        <v>30375000</v>
      </c>
      <c r="D42" s="6">
        <v>9</v>
      </c>
    </row>
    <row r="43" spans="1:7" x14ac:dyDescent="0.55000000000000004">
      <c r="A43" s="16">
        <v>11202</v>
      </c>
      <c r="B43" t="s">
        <v>14</v>
      </c>
      <c r="E43">
        <v>112500000</v>
      </c>
      <c r="F43" s="6">
        <f>F41-E43</f>
        <v>225000000</v>
      </c>
    </row>
    <row r="44" spans="1:7" x14ac:dyDescent="0.55000000000000004">
      <c r="A44" s="16">
        <v>11383</v>
      </c>
      <c r="B44" s="6" t="s">
        <v>38</v>
      </c>
      <c r="C44">
        <f>F43/100*9</f>
        <v>20250000</v>
      </c>
      <c r="D44" s="6">
        <v>9</v>
      </c>
    </row>
    <row r="45" spans="1:7" x14ac:dyDescent="0.55000000000000004">
      <c r="A45" s="16">
        <v>11383</v>
      </c>
      <c r="B45" t="s">
        <v>14</v>
      </c>
      <c r="E45">
        <v>112500000</v>
      </c>
      <c r="F45" s="6">
        <f>F43-E45</f>
        <v>112500000</v>
      </c>
    </row>
    <row r="46" spans="1:7" x14ac:dyDescent="0.55000000000000004">
      <c r="A46" s="16">
        <v>11567</v>
      </c>
      <c r="B46" s="6" t="s">
        <v>38</v>
      </c>
      <c r="C46">
        <f>F45/100*9</f>
        <v>10125000</v>
      </c>
      <c r="D46" s="6">
        <v>9</v>
      </c>
    </row>
    <row r="47" spans="1:7" x14ac:dyDescent="0.55000000000000004">
      <c r="A47" s="16">
        <v>11933</v>
      </c>
      <c r="B47" t="s">
        <v>14</v>
      </c>
      <c r="E47">
        <v>112500000</v>
      </c>
      <c r="F47" s="6">
        <f>F45-E47</f>
        <v>0</v>
      </c>
    </row>
    <row r="48" spans="1:7" x14ac:dyDescent="0.55000000000000004">
      <c r="A48" s="8" t="s">
        <v>39</v>
      </c>
      <c r="B48" s="8"/>
      <c r="C48" s="17">
        <f>SUM(C23:C47)</f>
        <v>913500000</v>
      </c>
      <c r="D48" s="8"/>
      <c r="E48" s="8"/>
      <c r="F48" s="8">
        <v>900000000</v>
      </c>
      <c r="G48" s="17">
        <f>C48+F48</f>
        <v>1813500000</v>
      </c>
    </row>
  </sheetData>
  <pageMargins left="0.7" right="0.7" top="0.78740157499999996" bottom="0.78740157499999996" header="0.3" footer="0.3"/>
  <pageSetup paperSize="9" orientation="portrait" horizontalDpi="1200" verticalDpi="1200" r:id="rId1"/>
  <ignoredErrors>
    <ignoredError sqref="C16" 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FA6EB-80A5-4928-8AAD-A21F3858B04E}">
  <dimension ref="A1:H25"/>
  <sheetViews>
    <sheetView workbookViewId="0">
      <selection activeCell="A18" sqref="A18"/>
    </sheetView>
  </sheetViews>
  <sheetFormatPr baseColWidth="10" defaultRowHeight="14.4" x14ac:dyDescent="0.55000000000000004"/>
  <cols>
    <col min="1" max="1" width="34.68359375" customWidth="1"/>
    <col min="2" max="2" width="17.15625" customWidth="1"/>
    <col min="3" max="3" width="18.15625" customWidth="1"/>
    <col min="4" max="4" width="16" customWidth="1"/>
    <col min="5" max="5" width="14.62890625" customWidth="1"/>
    <col min="6" max="6" width="16.1015625" customWidth="1"/>
    <col min="7" max="7" width="21.578125" customWidth="1"/>
  </cols>
  <sheetData>
    <row r="1" spans="1:8" x14ac:dyDescent="0.55000000000000004">
      <c r="A1" s="2" t="s">
        <v>0</v>
      </c>
    </row>
    <row r="2" spans="1:8" x14ac:dyDescent="0.55000000000000004">
      <c r="A2" s="5" t="s">
        <v>45</v>
      </c>
    </row>
    <row r="3" spans="1:8" x14ac:dyDescent="0.55000000000000004">
      <c r="A3" s="4" t="s">
        <v>8</v>
      </c>
      <c r="C3" t="s">
        <v>7</v>
      </c>
      <c r="D3" t="s">
        <v>2</v>
      </c>
      <c r="E3" t="s">
        <v>6</v>
      </c>
      <c r="F3" t="s">
        <v>5</v>
      </c>
      <c r="G3" t="s">
        <v>22</v>
      </c>
    </row>
    <row r="4" spans="1:8" x14ac:dyDescent="0.55000000000000004">
      <c r="A4" s="2">
        <v>42151</v>
      </c>
      <c r="B4" t="s">
        <v>27</v>
      </c>
      <c r="C4" s="6">
        <v>40800000</v>
      </c>
      <c r="D4" s="6">
        <f>C4/535000000*100</f>
        <v>7.6261682242990654</v>
      </c>
      <c r="E4" s="6"/>
      <c r="F4" s="6">
        <f>535000000</f>
        <v>535000000</v>
      </c>
      <c r="G4" s="6"/>
      <c r="H4" s="6"/>
    </row>
    <row r="5" spans="1:8" x14ac:dyDescent="0.55000000000000004">
      <c r="A5" s="2"/>
      <c r="C5" s="6"/>
      <c r="D5" s="6"/>
      <c r="E5" s="6"/>
      <c r="F5" s="6"/>
      <c r="G5" s="6"/>
      <c r="H5" s="6"/>
    </row>
    <row r="6" spans="1:8" x14ac:dyDescent="0.55000000000000004">
      <c r="A6" s="2"/>
      <c r="C6" s="6"/>
      <c r="D6" s="6"/>
      <c r="E6" s="6"/>
      <c r="F6" s="6"/>
      <c r="G6" s="6"/>
      <c r="H6" s="6"/>
    </row>
    <row r="7" spans="1:8" x14ac:dyDescent="0.55000000000000004">
      <c r="A7" t="s">
        <v>28</v>
      </c>
      <c r="C7" s="6"/>
      <c r="D7" s="6"/>
      <c r="E7" s="6"/>
      <c r="F7" s="6"/>
      <c r="G7" s="6"/>
      <c r="H7" s="6"/>
    </row>
    <row r="8" spans="1:8" x14ac:dyDescent="0.55000000000000004">
      <c r="A8" s="2">
        <v>42513</v>
      </c>
      <c r="B8" t="s">
        <v>27</v>
      </c>
      <c r="C8" s="6">
        <v>40800000</v>
      </c>
      <c r="D8" s="6">
        <f>C8/535000000*100</f>
        <v>7.6261682242990654</v>
      </c>
      <c r="E8" s="6"/>
      <c r="F8" s="6">
        <f>535000000</f>
        <v>535000000</v>
      </c>
      <c r="G8" s="6"/>
      <c r="H8" s="6"/>
    </row>
    <row r="9" spans="1:8" x14ac:dyDescent="0.55000000000000004">
      <c r="A9" s="2">
        <v>42513</v>
      </c>
      <c r="B9" t="s">
        <v>24</v>
      </c>
      <c r="D9" s="6"/>
      <c r="E9" s="6">
        <v>0</v>
      </c>
      <c r="F9" s="6">
        <f>F8-E9</f>
        <v>535000000</v>
      </c>
      <c r="G9" s="6"/>
      <c r="H9" s="6"/>
    </row>
    <row r="10" spans="1:8" x14ac:dyDescent="0.55000000000000004">
      <c r="A10" s="2">
        <v>42878</v>
      </c>
      <c r="B10" t="s">
        <v>27</v>
      </c>
      <c r="C10" s="6">
        <v>40800000</v>
      </c>
      <c r="D10" s="6">
        <f>C10/535000000*100</f>
        <v>7.6261682242990654</v>
      </c>
      <c r="E10" s="6"/>
      <c r="F10" s="6">
        <f>F9</f>
        <v>535000000</v>
      </c>
      <c r="G10" s="6"/>
      <c r="H10" s="6"/>
    </row>
    <row r="11" spans="1:8" x14ac:dyDescent="0.55000000000000004">
      <c r="A11" s="2">
        <v>42878</v>
      </c>
      <c r="B11" t="s">
        <v>24</v>
      </c>
      <c r="D11" s="6"/>
      <c r="E11" s="6">
        <v>0</v>
      </c>
      <c r="F11" s="6">
        <f>F10-E11</f>
        <v>535000000</v>
      </c>
      <c r="G11" s="6"/>
      <c r="H11" s="6"/>
    </row>
    <row r="12" spans="1:8" x14ac:dyDescent="0.55000000000000004">
      <c r="A12" s="2">
        <v>43243</v>
      </c>
      <c r="B12" t="s">
        <v>27</v>
      </c>
      <c r="C12" s="6">
        <v>40800000</v>
      </c>
      <c r="D12" s="6">
        <f>C12/535000000*100</f>
        <v>7.6261682242990654</v>
      </c>
      <c r="E12" s="6"/>
      <c r="F12" s="6">
        <f>F11</f>
        <v>535000000</v>
      </c>
      <c r="G12" s="6"/>
      <c r="H12" s="6"/>
    </row>
    <row r="13" spans="1:8" x14ac:dyDescent="0.55000000000000004">
      <c r="A13" s="2">
        <v>43243</v>
      </c>
      <c r="B13" t="s">
        <v>24</v>
      </c>
      <c r="D13" s="6"/>
      <c r="E13" s="6">
        <v>0</v>
      </c>
      <c r="F13" s="6">
        <f>F12-E13</f>
        <v>535000000</v>
      </c>
      <c r="G13" s="6"/>
      <c r="H13" s="6"/>
    </row>
    <row r="14" spans="1:8" x14ac:dyDescent="0.55000000000000004">
      <c r="A14" s="2">
        <v>43608</v>
      </c>
      <c r="B14" t="s">
        <v>27</v>
      </c>
      <c r="C14" s="6">
        <v>40800000</v>
      </c>
      <c r="D14" s="6">
        <f>C14/535000000*100</f>
        <v>7.6261682242990654</v>
      </c>
      <c r="E14" s="6"/>
      <c r="F14" s="6">
        <f>F13</f>
        <v>535000000</v>
      </c>
      <c r="G14" s="6"/>
      <c r="H14" s="6"/>
    </row>
    <row r="15" spans="1:8" x14ac:dyDescent="0.55000000000000004">
      <c r="A15" s="2">
        <v>43608</v>
      </c>
      <c r="B15" t="s">
        <v>24</v>
      </c>
      <c r="D15" s="6"/>
      <c r="E15" s="6">
        <v>0</v>
      </c>
      <c r="F15" s="6"/>
      <c r="G15" s="6"/>
      <c r="H15" s="6"/>
    </row>
    <row r="17" spans="1:7" x14ac:dyDescent="0.55000000000000004">
      <c r="A17" s="14" t="s">
        <v>31</v>
      </c>
      <c r="B17" s="14"/>
      <c r="C17" s="13">
        <f>SUM(C8:C16)</f>
        <v>163200000</v>
      </c>
      <c r="D17" s="14"/>
      <c r="E17" s="14"/>
      <c r="F17" s="13">
        <f>F14</f>
        <v>535000000</v>
      </c>
      <c r="G17" s="13">
        <f>F17+C17</f>
        <v>698200000</v>
      </c>
    </row>
    <row r="18" spans="1:7" x14ac:dyDescent="0.55000000000000004">
      <c r="A18" s="12" t="s">
        <v>30</v>
      </c>
    </row>
    <row r="19" spans="1:7" x14ac:dyDescent="0.55000000000000004">
      <c r="A19" s="2"/>
      <c r="D19" s="6"/>
      <c r="E19" s="6"/>
      <c r="F19" s="6"/>
    </row>
    <row r="25" spans="1:7" x14ac:dyDescent="0.55000000000000004">
      <c r="A25" s="6" t="s">
        <v>10</v>
      </c>
    </row>
  </sheetData>
  <pageMargins left="0.7" right="0.7" top="0.78740157499999996" bottom="0.78740157499999996" header="0.3" footer="0.3"/>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Übersicht</vt:lpstr>
      <vt:lpstr>Proindicus</vt:lpstr>
      <vt:lpstr>Ematum</vt:lpstr>
      <vt:lpstr>MAM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Zeier</dc:creator>
  <cp:lastModifiedBy>Christian Zeier</cp:lastModifiedBy>
  <dcterms:created xsi:type="dcterms:W3CDTF">2019-08-07T09:37:14Z</dcterms:created>
  <dcterms:modified xsi:type="dcterms:W3CDTF">2019-08-07T14:31:12Z</dcterms:modified>
</cp:coreProperties>
</file>